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igunov\Desktop\Новая папка\2023-2025 (274-п от 17.08.2026)\"/>
    </mc:Choice>
  </mc:AlternateContent>
  <xr:revisionPtr revIDLastSave="0" documentId="13_ncr:1_{3EB7EB88-39F2-477E-BD98-F6A56A41078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Перечень работ 2023-2025" sheetId="1" r:id="rId1"/>
  </sheets>
  <definedNames>
    <definedName name="_xlnm._FilterDatabase" localSheetId="0" hidden="1">'Перечень работ 2023-2025'!$A$5:$W$2026</definedName>
    <definedName name="Z_008D7CE5_1473_4D33_8A1D_C98AFD9DA9A6_.wvu.FilterData" localSheetId="0" hidden="1">'Перечень работ 2023-2025'!$A$6:$S$1986</definedName>
    <definedName name="Z_0195E95A_7753_43B9_AF3D_E5F4B6D3C38D_.wvu.FilterData" localSheetId="0" hidden="1">'Перечень работ 2023-2025'!$A$6:$S$1986</definedName>
    <definedName name="Z_02F314A8_5A00_454E_A7DC_41A2452FA791_.wvu.FilterData" localSheetId="0" hidden="1">'Перечень работ 2023-2025'!$A$5:$W$2026</definedName>
    <definedName name="Z_03A3120F_A936_4924_B29E_E6B4BC056365_.wvu.FilterData" localSheetId="0" hidden="1">'Перечень работ 2023-2025'!$A$4:$W$2026</definedName>
    <definedName name="Z_04BBC8C4_EE5E_4400_A686_542DB95E9DA3_.wvu.FilterData" localSheetId="0" hidden="1">'Перечень работ 2023-2025'!$A$6:$S$1986</definedName>
    <definedName name="Z_0580E3A2_E6E6_46FF_9FE5_3E2293CA74A7_.wvu.FilterData" localSheetId="0" hidden="1">'Перечень работ 2023-2025'!$A$6:$W$1986</definedName>
    <definedName name="Z_06D72183_6761_46E2_9674_390D7FF8E121_.wvu.FilterData" localSheetId="0" hidden="1">'Перечень работ 2023-2025'!$A$6:$S$1986</definedName>
    <definedName name="Z_08159B6B_BB2C_43FC_950F_5AB337899573_.wvu.FilterData" localSheetId="0" hidden="1">'Перечень работ 2023-2025'!$A$5:$W$2026</definedName>
    <definedName name="Z_08F3F35A_6FA7_4F57_97A6_C115562CF9F1_.wvu.FilterData" localSheetId="0" hidden="1">'Перечень работ 2023-2025'!$A$6:$S$1986</definedName>
    <definedName name="Z_0A07AE40_E05F_42D1_B3F3_92BFF22F69C5_.wvu.FilterData" localSheetId="0" hidden="1">'Перечень работ 2023-2025'!$A$5:$W$2026</definedName>
    <definedName name="Z_0B0472F7_ECA5_46CA_BC63_545E16171652_.wvu.FilterData" localSheetId="0" hidden="1">'Перечень работ 2023-2025'!$A$5:$W$2026</definedName>
    <definedName name="Z_0C807C2D_5FA9_4277_96CF_F58092CCF870_.wvu.FilterData" localSheetId="0" hidden="1">'Перечень работ 2023-2025'!$A$5:$W$2026</definedName>
    <definedName name="Z_0CA5465D_3671_4D6A_B9C8_DBE58272E855_.wvu.FilterData" localSheetId="0" hidden="1">'Перечень работ 2023-2025'!$A$1:$W$2027</definedName>
    <definedName name="Z_0CCFA9C7_F8DC_415C_AE5F_A0D9A303E9BE_.wvu.FilterData" localSheetId="0" hidden="1">'Перечень работ 2023-2025'!$A$5:$W$1986</definedName>
    <definedName name="Z_0D98487C_5BF1_49DE_A783_AE8E77958DC1_.wvu.FilterData" localSheetId="0" hidden="1">'Перечень работ 2023-2025'!$A$6:$S$1986</definedName>
    <definedName name="Z_0E1152A7_2316_4EBE_B688_87FCB14C6DA8_.wvu.FilterData" localSheetId="0" hidden="1">'Перечень работ 2023-2025'!$A$5:$W$2026</definedName>
    <definedName name="Z_0F434276_B146_494B_B13A_2D0CCE7592FA_.wvu.FilterData" localSheetId="0" hidden="1">'Перечень работ 2023-2025'!$A$5:$W$2026</definedName>
    <definedName name="Z_0FBC7063_DD99_4AE0_B9D9_A8BF5A4AB5D0_.wvu.FilterData" localSheetId="0" hidden="1">'Перечень работ 2023-2025'!$A$6:$S$1986</definedName>
    <definedName name="Z_10A036C2_5324_4DDD_A679_5EBB9523ED00_.wvu.FilterData" localSheetId="0" hidden="1">'Перечень работ 2023-2025'!$A$6:$W$1986</definedName>
    <definedName name="Z_12534318_ECF8_42EF_A66B_AB581C9693A2_.wvu.FilterData" localSheetId="0" hidden="1">'Перечень работ 2023-2025'!$A$5:$W$1986</definedName>
    <definedName name="Z_12CE3499_698E_4577_8934_52EC3E36B68F_.wvu.FilterData" localSheetId="0" hidden="1">'Перечень работ 2023-2025'!$A$5:$W$2026</definedName>
    <definedName name="Z_12D38D1D_4167_4AB6_BC66_6C169EFC35C3_.wvu.FilterData" localSheetId="0" hidden="1">'Перечень работ 2023-2025'!$A$6:$W$1986</definedName>
    <definedName name="Z_13B33C29_303F_430E_9F58_5CC6AB27F7EE_.wvu.FilterData" localSheetId="0" hidden="1">'Перечень работ 2023-2025'!$A$5:$W$1986</definedName>
    <definedName name="Z_159D3F50_F331_4AF8_B81B_0C44C763AC1B_.wvu.FilterData" localSheetId="0" hidden="1">'Перечень работ 2023-2025'!$A$5:$W$2026</definedName>
    <definedName name="Z_168DC2C8_B3BB_4AD1_A645_5F6E26303E11_.wvu.FilterData" localSheetId="0" hidden="1">'Перечень работ 2023-2025'!$A$6:$S$1986</definedName>
    <definedName name="Z_16EC73DA_04E0_4793_9AA0_05A4FA768A27_.wvu.FilterData" localSheetId="0" hidden="1">'Перечень работ 2023-2025'!$A$5:$W$2026</definedName>
    <definedName name="Z_1700FC2A_D804_4804_9C2B_59665E682694_.wvu.FilterData" localSheetId="0" hidden="1">'Перечень работ 2023-2025'!$A$6:$S$1986</definedName>
    <definedName name="Z_180C0099_ED47_4A12_9690_5C60D3CF75DD_.wvu.FilterData" localSheetId="0" hidden="1">'Перечень работ 2023-2025'!$A$6:$W$1986</definedName>
    <definedName name="Z_1988759E_2E7C_4AA1_AF87_D2B689504BD0_.wvu.FilterData" localSheetId="0" hidden="1">'Перечень работ 2023-2025'!$A$5:$W$2026</definedName>
    <definedName name="Z_1B48B2B3_F88B_4A86_864B_49C3E7C81BC8_.wvu.FilterData" localSheetId="0" hidden="1">'Перечень работ 2023-2025'!$A$5:$W$1986</definedName>
    <definedName name="Z_1BA059D2_9181_486F_A360_813B4EA0F4DB_.wvu.FilterData" localSheetId="0" hidden="1">'Перечень работ 2023-2025'!$A$6:$S$1986</definedName>
    <definedName name="Z_1BB9F6D2_8117_41EC_914C_3510209BD9E5_.wvu.FilterData" localSheetId="0" hidden="1">'Перечень работ 2023-2025'!$A$6:$W$1986</definedName>
    <definedName name="Z_1BBC19FA_5E0B_4A03_83B0_DA9F3977271F_.wvu.FilterData" localSheetId="0" hidden="1">'Перечень работ 2023-2025'!$A$5:$W$2026</definedName>
    <definedName name="Z_1C95B5F1_5A04_40A9_882C_CBC342016158_.wvu.FilterData" localSheetId="0" hidden="1">'Перечень работ 2023-2025'!$A$6:$S$1986</definedName>
    <definedName name="Z_1CBD6FF9_FA93_47DF_A701_401E2FDA9110_.wvu.FilterData" localSheetId="0" hidden="1">'Перечень работ 2023-2025'!$A$5:$W$1986</definedName>
    <definedName name="Z_1CE6136C_5726_4F49_9337_530018C2A6A7_.wvu.FilterData" localSheetId="0" hidden="1">'Перечень работ 2023-2025'!$A$6:$S$1986</definedName>
    <definedName name="Z_1D2142B2_A638_4797_B49A_B38FA69C4FED_.wvu.FilterData" localSheetId="0" hidden="1">'Перечень работ 2023-2025'!$A$5:$W$2026</definedName>
    <definedName name="Z_1D52A430_E342_48C6_8AE8_7D095A625B90_.wvu.FilterData" localSheetId="0" hidden="1">'Перечень работ 2023-2025'!$A$6:$S$1986</definedName>
    <definedName name="Z_1D57A085_40C6_42E3_B54E_77F08C40CFE5_.wvu.FilterData" localSheetId="0" hidden="1">'Перечень работ 2023-2025'!$A$1:$W$2027</definedName>
    <definedName name="Z_1E0FA241_D342_40A2_AD8B_1096DA4E44D0_.wvu.FilterData" localSheetId="0" hidden="1">'Перечень работ 2023-2025'!$A$6:$S$1986</definedName>
    <definedName name="Z_207AF5A4_91B0_4EF0_B3EF_A6D3AFD10663_.wvu.FilterData" localSheetId="0" hidden="1">'Перечень работ 2023-2025'!$A$4:$W$2026</definedName>
    <definedName name="Z_207E4869_1783_4037_B448_D9B05C72B72A_.wvu.FilterData" localSheetId="0" hidden="1">'Перечень работ 2023-2025'!$A$6:$S$1986</definedName>
    <definedName name="Z_20FA10EF_689E_433F_913D_D4DD4DDD3164_.wvu.FilterData" localSheetId="0" hidden="1">'Перечень работ 2023-2025'!$A$5:$W$1986</definedName>
    <definedName name="Z_21188E19_92C2_411D_A7B8_20155E260816_.wvu.FilterData" localSheetId="0" hidden="1">'Перечень работ 2023-2025'!$A$1:$S$2026</definedName>
    <definedName name="Z_22176D2B_BC48_4035_9881_10A0D2EEED94_.wvu.FilterData" localSheetId="0" hidden="1">'Перечень работ 2023-2025'!$A$6:$S$1986</definedName>
    <definedName name="Z_2225EBB2_0FC6_48C6_A37E_95B533518EB5_.wvu.FilterData" localSheetId="0" hidden="1">'Перечень работ 2023-2025'!$A$5:$W$2026</definedName>
    <definedName name="Z_22894BE6_C739_4504_835A_1BA2484F5BCD_.wvu.FilterData" localSheetId="0" hidden="1">'Перечень работ 2023-2025'!$A$5:$W$2026</definedName>
    <definedName name="Z_22B07B91_BF6B_477C_9AB4_C317461C3B21_.wvu.FilterData" localSheetId="0" hidden="1">'Перечень работ 2023-2025'!$A$6:$S$1986</definedName>
    <definedName name="Z_22CAFDED_4DE5_4287_A2F3_498EC8569F29_.wvu.FilterData" localSheetId="0" hidden="1">'Перечень работ 2023-2025'!$A$5:$W$2026</definedName>
    <definedName name="Z_244D33C0_53A5_4095_B620_60CD68A0C74B_.wvu.FilterData" localSheetId="0" hidden="1">'Перечень работ 2023-2025'!$A$5:$W$2026</definedName>
    <definedName name="Z_24A12545_AFE1_422E_BBCE_F4D34CADB3F7_.wvu.FilterData" localSheetId="0" hidden="1">'Перечень работ 2023-2025'!$A$6:$S$1986</definedName>
    <definedName name="Z_24A1C946_61EF_4E96_8790_66B7D81C0059_.wvu.FilterData" localSheetId="0" hidden="1">'Перечень работ 2023-2025'!$A$6:$S$1986</definedName>
    <definedName name="Z_258196D4_D1E5_4747_AF30_C5DED7A65D2A_.wvu.FilterData" localSheetId="0" hidden="1">'Перечень работ 2023-2025'!$A$6:$S$1986</definedName>
    <definedName name="Z_25F4A217_132A_4E8D_A0B3_09BE51DA678E_.wvu.FilterData" localSheetId="0" hidden="1">'Перечень работ 2023-2025'!$A$6:$S$1986</definedName>
    <definedName name="Z_2740F067_602F_4BD6_8867_325EC084DB4E_.wvu.FilterData" localSheetId="0" hidden="1">'Перечень работ 2023-2025'!$A$5:$W$2026</definedName>
    <definedName name="Z_27E9B490_DB2F_4849_91E9_256C5F249CE2_.wvu.FilterData" localSheetId="0" hidden="1">'Перечень работ 2023-2025'!$A$6:$W$1986</definedName>
    <definedName name="Z_297F5334_6E32_43D1_A7A0_5DF9FF6123C8_.wvu.FilterData" localSheetId="0" hidden="1">'Перечень работ 2023-2025'!$A$5:$W$2026</definedName>
    <definedName name="Z_2A377154_292F_4E14_A865_0D55002A940C_.wvu.FilterData" localSheetId="0" hidden="1">'Перечень работ 2023-2025'!$A$6:$S$1986</definedName>
    <definedName name="Z_2A400F38_A0CF_4CD1_8346_A886AEAD60F6_.wvu.FilterData" localSheetId="0" hidden="1">'Перечень работ 2023-2025'!$A$5:$W$2026</definedName>
    <definedName name="Z_2A85FBD5_2500_4BF7_831C_3FE8CA43DC95_.wvu.FilterData" localSheetId="0" hidden="1">'Перечень работ 2023-2025'!$A$5:$W$2026</definedName>
    <definedName name="Z_2AA01FB2_DCFA_488B_97CD_E7B2D9482FD8_.wvu.FilterData" localSheetId="0" hidden="1">'Перечень работ 2023-2025'!$A$6:$S$1986</definedName>
    <definedName name="Z_2BA5710F_0901_4523_B7FF_571B0C27F0C1_.wvu.FilterData" localSheetId="0" hidden="1">'Перечень работ 2023-2025'!$A$6:$S$1986</definedName>
    <definedName name="Z_2BCC7A4A_F6DC_42BC_9487_9853B80C932E_.wvu.FilterData" localSheetId="0" hidden="1">'Перечень работ 2023-2025'!$A$5:$W$2026</definedName>
    <definedName name="Z_2C31F898_2847_46A1_A079_832961249F0B_.wvu.FilterData" localSheetId="0" hidden="1">'Перечень работ 2023-2025'!$A$5:$W$2026</definedName>
    <definedName name="Z_2C73DDB0_A483_43F7_92E3_ECBD4654EAD4_.wvu.Cols" localSheetId="0" hidden="1">'Перечень работ 2023-2025'!#REF!</definedName>
    <definedName name="Z_2C73DDB0_A483_43F7_92E3_ECBD4654EAD4_.wvu.FilterData" localSheetId="0" hidden="1">'Перечень работ 2023-2025'!$A$5:$W$2026</definedName>
    <definedName name="Z_2C861F34_4C29_48BA_A181_2182155C1197_.wvu.FilterData" localSheetId="0" hidden="1">'Перечень работ 2023-2025'!$A$5:$W$2026</definedName>
    <definedName name="Z_2CB31D33_2C3B_4699_85AB_705A24DDB245_.wvu.FilterData" localSheetId="0" hidden="1">'Перечень работ 2023-2025'!$A$5:$W$2026</definedName>
    <definedName name="Z_2D0BFEF6_3CFB_4536_80B6_3271499F8F55_.wvu.FilterData" localSheetId="0" hidden="1">'Перечень работ 2023-2025'!$A$5:$W$2026</definedName>
    <definedName name="Z_2ECA3CD6_200F_4E1D_97DA_87A38FF5F871_.wvu.FilterData" localSheetId="0" hidden="1">'Перечень работ 2023-2025'!$A$6:$S$1986</definedName>
    <definedName name="Z_2F68220D_BED7_4A0F_A25F_DFAF9C6646CA_.wvu.FilterData" localSheetId="0" hidden="1">'Перечень работ 2023-2025'!$A$6:$S$1986</definedName>
    <definedName name="Z_2FBE43B6_9CF3_4DDB_BA67_7FE41FF628A1_.wvu.FilterData" localSheetId="0" hidden="1">'Перечень работ 2023-2025'!$A$6:$W$1986</definedName>
    <definedName name="Z_2FED551B_582C_4AD3_B889_75600B465C54_.wvu.FilterData" localSheetId="0" hidden="1">'Перечень работ 2023-2025'!$A$5:$W$1986</definedName>
    <definedName name="Z_31DEA5C0_6FB9_48ED_9A56_59526E2FE3C0_.wvu.FilterData" localSheetId="0" hidden="1">'Перечень работ 2023-2025'!$A$6:$S$1986</definedName>
    <definedName name="Z_3216D4BB_D3BE_4486_9A8B_3AA20D061DD4_.wvu.FilterData" localSheetId="0" hidden="1">'Перечень работ 2023-2025'!$A$6:$S$1986</definedName>
    <definedName name="Z_3255F2ED_7DC9_460D_99E2_6627BA773B20_.wvu.FilterData" localSheetId="0" hidden="1">'Перечень работ 2023-2025'!$A$6:$W$1986</definedName>
    <definedName name="Z_32FA5666_FD8B_44CA_A566_A8D3FF508886_.wvu.FilterData" localSheetId="0" hidden="1">'Перечень работ 2023-2025'!$A$6:$W$1986</definedName>
    <definedName name="Z_339B5EC0_82FA_4E56_907D_1B0A620DDDC0_.wvu.FilterData" localSheetId="0" hidden="1">'Перечень работ 2023-2025'!$A$6:$S$1986</definedName>
    <definedName name="Z_33CB0E6F_F63B_4CEF_B279_11C54A4C0827_.wvu.FilterData" localSheetId="0" hidden="1">'Перечень работ 2023-2025'!$A$5:$W$2026</definedName>
    <definedName name="Z_3498566D_71F5_4F96_B894_DAAD84C1B443_.wvu.FilterData" localSheetId="0" hidden="1">'Перечень работ 2023-2025'!$A$6:$S$1986</definedName>
    <definedName name="Z_35271005_F1C0_4362_9B00_D997BC920CA0_.wvu.FilterData" localSheetId="0" hidden="1">'Перечень работ 2023-2025'!$A$5:$W$2026</definedName>
    <definedName name="Z_35595B70_7D1B_41E8_AEB6_C9171BA5CD6F_.wvu.FilterData" localSheetId="0" hidden="1">'Перечень работ 2023-2025'!$A$5:$W$2026</definedName>
    <definedName name="Z_359425DB_9A38_436C_9EB2_7EFA3A06879A_.wvu.FilterData" localSheetId="0" hidden="1">'Перечень работ 2023-2025'!$A$5:$W$2026</definedName>
    <definedName name="Z_365BAB87_2769_473A_8CFF_4DEC9D9DC48E_.wvu.FilterData" localSheetId="0" hidden="1">'Перечень работ 2023-2025'!$A$5:$W$2026</definedName>
    <definedName name="Z_37136218_227C_4C54_A99C_37C476FB1D5F_.wvu.FilterData" localSheetId="0" hidden="1">'Перечень работ 2023-2025'!$A$6:$S$1986</definedName>
    <definedName name="Z_3A114BF4_E38D_47E5_90E2_0AE4B679A136_.wvu.FilterData" localSheetId="0" hidden="1">'Перечень работ 2023-2025'!$A$6:$W$1986</definedName>
    <definedName name="Z_3AA579B1_786F_4B4E_8412_1CA9B8E5E547_.wvu.FilterData" localSheetId="0" hidden="1">'Перечень работ 2023-2025'!$A$6:$S$1986</definedName>
    <definedName name="Z_3C3D3DA6_99F3_46D2_8AFA_E00B8CD3FB61_.wvu.FilterData" localSheetId="0" hidden="1">'Перечень работ 2023-2025'!$A$6:$W$1986</definedName>
    <definedName name="Z_3E1004F2_E7DC_4CC7_BB86_F4FA3495BF97_.wvu.FilterData" localSheetId="0" hidden="1">'Перечень работ 2023-2025'!$A$1:$W$2027</definedName>
    <definedName name="Z_3E81FEC1_02B5_4F6D_9077_11FCD48AB150_.wvu.FilterData" localSheetId="0" hidden="1">'Перечень работ 2023-2025'!$A$6:$S$1986</definedName>
    <definedName name="Z_3E9F39AB_8A15_4ABA_85A9_6CF77401DAF4_.wvu.FilterData" localSheetId="0" hidden="1">'Перечень работ 2023-2025'!$A$5:$W$2026</definedName>
    <definedName name="Z_3F2ACF74_44D4_4BD1_A2D0_B85F11B6EF1F_.wvu.FilterData" localSheetId="0" hidden="1">'Перечень работ 2023-2025'!$A$5:$W$2026</definedName>
    <definedName name="Z_3F75324F_CBCC_40EA_9618_0D7EC38BC3BF_.wvu.FilterData" localSheetId="0" hidden="1">'Перечень работ 2023-2025'!$A$5:$W$1986</definedName>
    <definedName name="Z_403D7F1A_8911_4A0C_A262_23DC5584915C_.wvu.FilterData" localSheetId="0" hidden="1">'Перечень работ 2023-2025'!$A$1:$S$2038</definedName>
    <definedName name="Z_423B6F92_CEB8_41EA_8932_EB6D935165E7_.wvu.FilterData" localSheetId="0" hidden="1">'Перечень работ 2023-2025'!$A$5:$W$2026</definedName>
    <definedName name="Z_4325F15F_E403_43A8_BB03_5977EBF8D66C_.wvu.FilterData" localSheetId="0" hidden="1">'Перечень работ 2023-2025'!$A$6:$S$1986</definedName>
    <definedName name="Z_4398D3D8_6EC0_40C9_A429_3BDB58B5EB4B_.wvu.FilterData" localSheetId="0" hidden="1">'Перечень работ 2023-2025'!$A$5:$W$2026</definedName>
    <definedName name="Z_43F52765_CC60_4CBE_A8D6_AB4BE4D3D23A_.wvu.FilterData" localSheetId="0" hidden="1">'Перечень работ 2023-2025'!$A$5:$W$2026</definedName>
    <definedName name="Z_441F1B1F_B510_4779_B37B_C9F36BD7B771_.wvu.FilterData" localSheetId="0" hidden="1">'Перечень работ 2023-2025'!$A$6:$S$1986</definedName>
    <definedName name="Z_446438BD_40B3_4116_BA01_A78CD48CC553_.wvu.FilterData" localSheetId="0" hidden="1">'Перечень работ 2023-2025'!$A$6:$S$1986</definedName>
    <definedName name="Z_44D3C209_6C9A_4333_AEEC_9D64F767DA2A_.wvu.FilterData" localSheetId="0" hidden="1">'Перечень работ 2023-2025'!$A$6:$S$1986</definedName>
    <definedName name="Z_4604624A_7F3E_4EE9_BCFA_4CC99E789444_.wvu.FilterData" localSheetId="0" hidden="1">'Перечень работ 2023-2025'!$A$6:$S$1986</definedName>
    <definedName name="Z_472123EA_28C5_4D3F_8F57_BB558F329E51_.wvu.FilterData" localSheetId="0" hidden="1">'Перечень работ 2023-2025'!$A$6:$S$1986</definedName>
    <definedName name="Z_47A50577_E03E_4E74_8AFC_604EE2F3B581_.wvu.FilterData" localSheetId="0" hidden="1">'Перечень работ 2023-2025'!$A$5:$W$2026</definedName>
    <definedName name="Z_48C91D5F_1067_45EA_A9BB_DB2FE1F0B117_.wvu.FilterData" localSheetId="0" hidden="1">'Перечень работ 2023-2025'!$A$6:$S$1986</definedName>
    <definedName name="Z_49EEE1C1_0484_473F_9D2E_560BE20C0230_.wvu.FilterData" localSheetId="0" hidden="1">'Перечень работ 2023-2025'!$A$1:$W$2027</definedName>
    <definedName name="Z_4A9B412E_5617_487A_85A5_5F38D4FA30BC_.wvu.Cols" localSheetId="0" hidden="1">'Перечень работ 2023-2025'!#REF!</definedName>
    <definedName name="Z_4A9B412E_5617_487A_85A5_5F38D4FA30BC_.wvu.FilterData" localSheetId="0" hidden="1">'Перечень работ 2023-2025'!$A$5:$W$2026</definedName>
    <definedName name="Z_4B9A8A55_AB60_47AD_B3AD_D828513513D6_.wvu.FilterData" localSheetId="0" hidden="1">'Перечень работ 2023-2025'!$A$6:$S$1986</definedName>
    <definedName name="Z_4C1C29A7_94CE_41E4_A27B_3558AA5448A7_.wvu.FilterData" localSheetId="0" hidden="1">'Перечень работ 2023-2025'!$A$5:$W$2026</definedName>
    <definedName name="Z_4D04F4B5_F9FE_4A17_A5CC_243FEADCC92F_.wvu.FilterData" localSheetId="0" hidden="1">'Перечень работ 2023-2025'!$A$1:$S$2026</definedName>
    <definedName name="Z_4E6AA08E_860D_4192_989D_9B7384864008_.wvu.FilterData" localSheetId="0" hidden="1">'Перечень работ 2023-2025'!$A$6:$S$1986</definedName>
    <definedName name="Z_4EFDC6C8_B242_4715_BBA1_345E9175FDC5_.wvu.FilterData" localSheetId="0" hidden="1">'Перечень работ 2023-2025'!$A$5:$W$2026</definedName>
    <definedName name="Z_50055FB8_72FC_42CD_A297_D14048CE5E2F_.wvu.FilterData" localSheetId="0" hidden="1">'Перечень работ 2023-2025'!$A$6:$S$1986</definedName>
    <definedName name="Z_516BA042_4FA4_44E7_8D1A_2D7EFAD81607_.wvu.FilterData" localSheetId="0" hidden="1">'Перечень работ 2023-2025'!$A$6:$S$1986</definedName>
    <definedName name="Z_52C71774_0E54_4290_BB4C_822723D6EF13_.wvu.FilterData" localSheetId="0" hidden="1">'Перечень работ 2023-2025'!$A$6:$W$1986</definedName>
    <definedName name="Z_540DB1DA_AD9A_4231_9CF0_B2F8AA9D74B0_.wvu.FilterData" localSheetId="0" hidden="1">'Перечень работ 2023-2025'!$A$6:$W$1986</definedName>
    <definedName name="Z_5503D339_9CDA_4334_8EC8_7B2B13288D69_.wvu.FilterData" localSheetId="0" hidden="1">'Перечень работ 2023-2025'!$A$6:$S$1986</definedName>
    <definedName name="Z_562731C9_D2E5_4A6C_9137_EB7F3696B679_.wvu.FilterData" localSheetId="0" hidden="1">'Перечень работ 2023-2025'!$A$5:$W$2026</definedName>
    <definedName name="Z_56F136B9_79E5_49E2_BF1F_4AA3F09C5D10_.wvu.FilterData" localSheetId="0" hidden="1">'Перечень работ 2023-2025'!$A$5:$W$2026</definedName>
    <definedName name="Z_5710BB45_6253_471A_962E_222170D14451_.wvu.FilterData" localSheetId="0" hidden="1">'Перечень работ 2023-2025'!$A$6:$S$1986</definedName>
    <definedName name="Z_5738F29C_495A_46B4_81E7_2FE5CC0C3E73_.wvu.FilterData" localSheetId="0" hidden="1">'Перечень работ 2023-2025'!$A$5:$W$2026</definedName>
    <definedName name="Z_59A9BC95_12CA_4D1D_9EF2_3EAA4D9EE1FA_.wvu.FilterData" localSheetId="0" hidden="1">'Перечень работ 2023-2025'!$A$1:$S$2026</definedName>
    <definedName name="Z_5A3AD204_B618_4948_BE5F_A421D98DB1FE_.wvu.FilterData" localSheetId="0" hidden="1">'Перечень работ 2023-2025'!$A$6:$S$1986</definedName>
    <definedName name="Z_5B368EA8_B28F_4A5F_B1E0_78F969FB3512_.wvu.FilterData" localSheetId="0" hidden="1">'Перечень работ 2023-2025'!$A$5:$W$2026</definedName>
    <definedName name="Z_5BBC380F_6736_4445_A6E3_B9EDFF97C0E6_.wvu.FilterData" localSheetId="0" hidden="1">'Перечень работ 2023-2025'!$A$5:$W$2026</definedName>
    <definedName name="Z_5DAFE95C_4733_4D73_9FAE_A17660E4022B_.wvu.FilterData" localSheetId="0" hidden="1">'Перечень работ 2023-2025'!$A$5:$W$1986</definedName>
    <definedName name="Z_5E1C8231_EDD9_40D0_99FB_4A75908A1F08_.wvu.FilterData" localSheetId="0" hidden="1">'Перечень работ 2023-2025'!$A$6:$S$1986</definedName>
    <definedName name="Z_5E575BEA_8C14_457E_A5E6_6AF62A24839A_.wvu.FilterData" localSheetId="0" hidden="1">'Перечень работ 2023-2025'!$A$6:$S$1986</definedName>
    <definedName name="Z_5E9D364D_301F_46A1_8259_21A95679AC9F_.wvu.FilterData" localSheetId="0" hidden="1">'Перечень работ 2023-2025'!$A$6:$W$1986</definedName>
    <definedName name="Z_5EE1F958_CDD6_44A5_9124_B17BE7DB805F_.wvu.FilterData" localSheetId="0" hidden="1">'Перечень работ 2023-2025'!$A$6:$S$1986</definedName>
    <definedName name="Z_602987AE_A017_453F_BD0A_18A9D13761C8_.wvu.FilterData" localSheetId="0" hidden="1">'Перечень работ 2023-2025'!$A$5:$W$2026</definedName>
    <definedName name="Z_603AF616_4033_4C5E_B466_3CF00B17EE76_.wvu.FilterData" localSheetId="0" hidden="1">'Перечень работ 2023-2025'!$A$5:$W$2026</definedName>
    <definedName name="Z_604674A6_F62D_44FB_9ADA_C98C12B63187_.wvu.FilterData" localSheetId="0" hidden="1">'Перечень работ 2023-2025'!$A$5:$W$1986</definedName>
    <definedName name="Z_60530927_D058_402C_8708_1981642E9B34_.wvu.FilterData" localSheetId="0" hidden="1">'Перечень работ 2023-2025'!$A$5:$W$2026</definedName>
    <definedName name="Z_60D96E6A_6E21_4C61_ADFD_9681E0937172_.wvu.FilterData" localSheetId="0" hidden="1">'Перечень работ 2023-2025'!$A$1:$W$2027</definedName>
    <definedName name="Z_60E23AFE_A496_4DBF_913F_3E347E4CBF33_.wvu.FilterData" localSheetId="0" hidden="1">'Перечень работ 2023-2025'!$A$5:$W$1986</definedName>
    <definedName name="Z_61D36785_2C5C_472A_95C3_FECA02D51DB7_.wvu.FilterData" localSheetId="0" hidden="1">'Перечень работ 2023-2025'!$A$5:$W$2026</definedName>
    <definedName name="Z_61DBF3E8_8F46_4873_A19B_ECEFB3409155_.wvu.FilterData" localSheetId="0" hidden="1">'Перечень работ 2023-2025'!$A$5:$W$1986</definedName>
    <definedName name="Z_631B88E7_5EAF_480E_8A90_C8B45890A83E_.wvu.FilterData" localSheetId="0" hidden="1">'Перечень работ 2023-2025'!$A$6:$S$1986</definedName>
    <definedName name="Z_64FCB7FB_1870_4486_B363_CA5D62D93817_.wvu.FilterData" localSheetId="0" hidden="1">'Перечень работ 2023-2025'!$A$6:$S$1986</definedName>
    <definedName name="Z_65433EEC_3392_4B90_80F1_39788EAB0857_.wvu.FilterData" localSheetId="0" hidden="1">'Перечень работ 2023-2025'!$A$5:$W$2026</definedName>
    <definedName name="Z_672CE467_6897_4D25_A88C_F97E5707A03F_.wvu.FilterData" localSheetId="0" hidden="1">'Перечень работ 2023-2025'!$A$5:$W$1986</definedName>
    <definedName name="Z_677CE8D0_0EA2_4FD7_8C30_F60AD65A4373_.wvu.FilterData" localSheetId="0" hidden="1">'Перечень работ 2023-2025'!$A$5:$W$2026</definedName>
    <definedName name="Z_67A934EC_6D33_429D_BD6B_8714ECB8B196_.wvu.FilterData" localSheetId="0" hidden="1">'Перечень работ 2023-2025'!$A$6:$W$1986</definedName>
    <definedName name="Z_69027E66_4AF6_49D0_9591_C64639C5CC50_.wvu.FilterData" localSheetId="0" hidden="1">'Перечень работ 2023-2025'!$A$6:$W$1986</definedName>
    <definedName name="Z_69E8C572_EA21_4135_8563_E31C17D373D6_.wvu.FilterData" localSheetId="0" hidden="1">'Перечень работ 2023-2025'!$A$6:$S$1986</definedName>
    <definedName name="Z_6A5EC93E_A706_404B_9203_8B3217229B08_.wvu.FilterData" localSheetId="0" hidden="1">'Перечень работ 2023-2025'!$A$5:$W$2026</definedName>
    <definedName name="Z_6A8F658A_549E_4C01_AC62_DA10E53BCB2A_.wvu.FilterData" localSheetId="0" hidden="1">'Перечень работ 2023-2025'!$A$4:$W$2026</definedName>
    <definedName name="Z_6B847539_71C0_4C50_AA0C_E11E69AC07B7_.wvu.FilterData" localSheetId="0" hidden="1">'Перечень работ 2023-2025'!$A$5:$W$2026</definedName>
    <definedName name="Z_6C4F0694_1274_4B96_A418_4ABC954EF4FF_.wvu.FilterData" localSheetId="0" hidden="1">'Перечень работ 2023-2025'!$A$5:$W$2026</definedName>
    <definedName name="Z_6C9319DE_BDD0_4701_8150_AC5F0B294BDE_.wvu.FilterData" localSheetId="0" hidden="1">'Перечень работ 2023-2025'!$A$5:$W$2026</definedName>
    <definedName name="Z_6D168189_4BB4_466D_B8C9_7B7760253A38_.wvu.FilterData" localSheetId="0" hidden="1">'Перечень работ 2023-2025'!$A$5:$W$2026</definedName>
    <definedName name="Z_6D3ABFAC_7ABE_48C2_8097_156D21D07614_.wvu.FilterData" localSheetId="0" hidden="1">'Перечень работ 2023-2025'!$A$6:$S$1986</definedName>
    <definedName name="Z_6DAFA5A7_51ED_4BAE_89F0_CF061365B5F1_.wvu.FilterData" localSheetId="0" hidden="1">'Перечень работ 2023-2025'!$A$5:$W$2026</definedName>
    <definedName name="Z_6E3F9D3C_7778_43D1_B7E7_6EF375D045FF_.wvu.FilterData" localSheetId="0" hidden="1">'Перечень работ 2023-2025'!$A$6:$S$1986</definedName>
    <definedName name="Z_6E4A518C_598F_465A_9492_061035082A6E_.wvu.FilterData" localSheetId="0" hidden="1">'Перечень работ 2023-2025'!$A$6:$W$1986</definedName>
    <definedName name="Z_6ED33BBE_2174_4AA2_BAD5_307396AFC5DC_.wvu.FilterData" localSheetId="0" hidden="1">'Перечень работ 2023-2025'!$A$5:$W$1986</definedName>
    <definedName name="Z_6F2BEF17_F1DC_4F8E_90F1_F469BBB5FCE6_.wvu.FilterData" localSheetId="0" hidden="1">'Перечень работ 2023-2025'!$A$6:$S$1986</definedName>
    <definedName name="Z_6F5510C9_72EE_4165_90E8_326EC98E710C_.wvu.FilterData" localSheetId="0" hidden="1">'Перечень работ 2023-2025'!$A$1:$W$2027</definedName>
    <definedName name="Z_71057B14_575C_4886_A5D2_0AE751CE71B9_.wvu.FilterData" localSheetId="0" hidden="1">'Перечень работ 2023-2025'!$A$5:$W$1986</definedName>
    <definedName name="Z_71EC2296_96E1_499C_991A_81043A0F1F46_.wvu.FilterData" localSheetId="0" hidden="1">'Перечень работ 2023-2025'!$A$6:$S$1986</definedName>
    <definedName name="Z_71EC2296_96E1_499C_991A_81043A0F1F46_.wvu.PrintArea" localSheetId="0" hidden="1">'Перечень работ 2023-2025'!$A$2:$S$1959</definedName>
    <definedName name="Z_728564E4_1D55_4DD6_896A_AC10B77EDE4F_.wvu.FilterData" localSheetId="0" hidden="1">'Перечень работ 2023-2025'!$A$6:$S$1986</definedName>
    <definedName name="Z_731AD06A_EE6B_45A3_BF3F_FBFFA0632133_.wvu.FilterData" localSheetId="0" hidden="1">'Перечень работ 2023-2025'!$A$6:$S$1986</definedName>
    <definedName name="Z_737E9CC9_71DA_4E3F_9E59_06D9AC18EA6B_.wvu.FilterData" localSheetId="0" hidden="1">'Перечень работ 2023-2025'!$A$5:$W$2026</definedName>
    <definedName name="Z_7445194A_BC1F_4F1F_8042_EBB5338BD36C_.wvu.FilterData" localSheetId="0" hidden="1">'Перечень работ 2023-2025'!$A$5:$W$2026</definedName>
    <definedName name="Z_74C150B0_DD6A_4092_A238_304DC3988D2A_.wvu.FilterData" localSheetId="0" hidden="1">'Перечень работ 2023-2025'!$A$6:$S$1986</definedName>
    <definedName name="Z_7568F701_AACA_4205_A305_E47ADE777778_.wvu.FilterData" localSheetId="0" hidden="1">'Перечень работ 2023-2025'!$A$6:$S$1986</definedName>
    <definedName name="Z_7571A825_6EA6_49E9_9256_69F1D4B9EDE5_.wvu.FilterData" localSheetId="0" hidden="1">'Перечень работ 2023-2025'!$A$6:$S$1986</definedName>
    <definedName name="Z_777CC6E0_839D_46E9_942D_B7250471C5AB_.wvu.FilterData" localSheetId="0" hidden="1">'Перечень работ 2023-2025'!$A$5:$W$2026</definedName>
    <definedName name="Z_7943EDF8_721C_425F_B30C_B4119EB253C1_.wvu.FilterData" localSheetId="0" hidden="1">'Перечень работ 2023-2025'!$A$5:$W$2026</definedName>
    <definedName name="Z_7A58D823_C1F1_49E8_8206_66010D2CEA5B_.wvu.FilterData" localSheetId="0" hidden="1">'Перечень работ 2023-2025'!$A$6:$S$1986</definedName>
    <definedName name="Z_7A667DF6_805C_41F1_AD53_885B54151093_.wvu.FilterData" localSheetId="0" hidden="1">'Перечень работ 2023-2025'!$A$6:$W$1986</definedName>
    <definedName name="Z_7B8CD322_24AA_4CCE_A8A2_9809BE6BE1E6_.wvu.FilterData" localSheetId="0" hidden="1">'Перечень работ 2023-2025'!$A$5:$W$2026</definedName>
    <definedName name="Z_7BAD8973_2D02_44C8_A2E4_3B36BDEAF320_.wvu.FilterData" localSheetId="0" hidden="1">'Перечень работ 2023-2025'!$A$5:$W$2026</definedName>
    <definedName name="Z_7F4CE4C1_61C4_4D9D_979F_10BD856B7A76_.wvu.FilterData" localSheetId="0" hidden="1">'Перечень работ 2023-2025'!$A$6:$S$1986</definedName>
    <definedName name="Z_7FE8DB8C_185C_4888_AE7E_05F5493C80AE_.wvu.FilterData" localSheetId="0" hidden="1">'Перечень работ 2023-2025'!$A$5:$W$2026</definedName>
    <definedName name="Z_811D355C_8C7F_4A28_8460_84746F7B2A06_.wvu.FilterData" localSheetId="0" hidden="1">'Перечень работ 2023-2025'!$A$6:$S$1986</definedName>
    <definedName name="Z_83239E27_95EB_4304_9C82_18453A8CA369_.wvu.FilterData" localSheetId="0" hidden="1">'Перечень работ 2023-2025'!$A$5:$W$2026</definedName>
    <definedName name="Z_83AA3D3F_14DD_407F_ACE6_0B266C354934_.wvu.FilterData" localSheetId="0" hidden="1">'Перечень работ 2023-2025'!$A$6:$S$1986</definedName>
    <definedName name="Z_847E6D3D_CC27_4746_BC49_29D0E812623D_.wvu.FilterData" localSheetId="0" hidden="1">'Перечень работ 2023-2025'!$A$6:$S$1986</definedName>
    <definedName name="Z_866DD0DC_EA97_404B_B6AF_DD184E8FEE47_.wvu.FilterData" localSheetId="0" hidden="1">'Перечень работ 2023-2025'!$A$5:$W$1986</definedName>
    <definedName name="Z_878E65DC_04A6_40EA_B0A0_01D6B20CA3D8_.wvu.FilterData" localSheetId="0" hidden="1">'Перечень работ 2023-2025'!$A$6:$W$1986</definedName>
    <definedName name="Z_8829FBC8_4D83_4D3F_B1AA_E8C1E41B589C_.wvu.FilterData" localSheetId="0" hidden="1">'Перечень работ 2023-2025'!$A$6:$W$1986</definedName>
    <definedName name="Z_88CD0C19_C2E7_4AB5_9F53_0AD503655F3A_.wvu.FilterData" localSheetId="0" hidden="1">'Перечень работ 2023-2025'!$A$6:$S$1986</definedName>
    <definedName name="Z_891969F2_B6EE_4A3B_8C88_F1ACE4AB150A_.wvu.FilterData" localSheetId="0" hidden="1">'Перечень работ 2023-2025'!$A$6:$S$1986</definedName>
    <definedName name="Z_89A4930F_107F_4625_AA37_77BC71208F06_.wvu.FilterData" localSheetId="0" hidden="1">'Перечень работ 2023-2025'!$A$5:$W$1986</definedName>
    <definedName name="Z_89A592E6_EEC1_4C3B_915B_91EB25991AF1_.wvu.FilterData" localSheetId="0" hidden="1">'Перечень работ 2023-2025'!$A$6:$S$1986</definedName>
    <definedName name="Z_89B2B13E_7944_418E_AD39_0EA352D71213_.wvu.FilterData" localSheetId="0" hidden="1">'Перечень работ 2023-2025'!$A$6:$S$1986</definedName>
    <definedName name="Z_8A2972D7_04F8_4C20_B44D_699CE7054A75_.wvu.FilterData" localSheetId="0" hidden="1">'Перечень работ 2023-2025'!$A$5:$W$2026</definedName>
    <definedName name="Z_8A32760B_0A9F_464D_B5B2_CFA0955052DE_.wvu.FilterData" localSheetId="0" hidden="1">'Перечень работ 2023-2025'!$A$6:$S$1986</definedName>
    <definedName name="Z_8BE94F02_1A37_4D4D_A6AB_07A2AB967F0F_.wvu.FilterData" localSheetId="0" hidden="1">'Перечень работ 2023-2025'!$A$5:$W$2026</definedName>
    <definedName name="Z_8E865A3A_4754_4F9B_9E9F_D6161EB53B4C_.wvu.FilterData" localSheetId="0" hidden="1">'Перечень работ 2023-2025'!$A$5:$W$1986</definedName>
    <definedName name="Z_8EBCF519_CA4D_487F_9B1F_EFB83AB90E05_.wvu.FilterData" localSheetId="0" hidden="1">'Перечень работ 2023-2025'!$A$5:$W$2026</definedName>
    <definedName name="Z_8FDF8144_0DAB_4BF3_8055_4CEA476B2DF2_.wvu.FilterData" localSheetId="0" hidden="1">'Перечень работ 2023-2025'!$A$5:$W$2026</definedName>
    <definedName name="Z_91AE7F78_E49A_43CF_AC30_FC3085DE2C0A_.wvu.FilterData" localSheetId="0" hidden="1">'Перечень работ 2023-2025'!$A$6:$W$1986</definedName>
    <definedName name="Z_929601EA_A151_4177_B570_92A2EF32C2E2_.wvu.FilterData" localSheetId="0" hidden="1">'Перечень работ 2023-2025'!$A$6:$S$1986</definedName>
    <definedName name="Z_93916943_851E_44DE_88C0_643FD6DCFD2D_.wvu.FilterData" localSheetId="0" hidden="1">'Перечень работ 2023-2025'!$A$6:$S$1986</definedName>
    <definedName name="Z_951EBB67_EC42_44CF_9F14_730F09E7D70A_.wvu.FilterData" localSheetId="0" hidden="1">'Перечень работ 2023-2025'!$A$6:$W$1986</definedName>
    <definedName name="Z_95410F5B_07DD_4BF9_A4E1_4A1D37F14CC4_.wvu.FilterData" localSheetId="0" hidden="1">'Перечень работ 2023-2025'!$A$5:$W$2026</definedName>
    <definedName name="Z_959D84B6_1680_4EF2_A656_3E6D891AD8C0_.wvu.FilterData" localSheetId="0" hidden="1">'Перечень работ 2023-2025'!$A$6:$S$1986</definedName>
    <definedName name="Z_99601652_BBC0_4C14_B322_0DACB42806E8_.wvu.FilterData" localSheetId="0" hidden="1">'Перечень работ 2023-2025'!$A$5:$W$2026</definedName>
    <definedName name="Z_9987F310_77F4_46D8_A596_431585BBE5FD_.wvu.FilterData" localSheetId="0" hidden="1">'Перечень работ 2023-2025'!$A$6:$W$1986</definedName>
    <definedName name="Z_99CDEFD7_46F2_40F9_928E_294B4FCFFEC5_.wvu.FilterData" localSheetId="0" hidden="1">'Перечень работ 2023-2025'!$A$6:$S$1986</definedName>
    <definedName name="Z_9AAA28F1_96FE_4F87_90ED_18EAEC27AE96_.wvu.FilterData" localSheetId="0" hidden="1">'Перечень работ 2023-2025'!$A$6:$S$1986</definedName>
    <definedName name="Z_9B078B70_B2EC_4915_A203_BEA3AE5F7FC3_.wvu.FilterData" localSheetId="0" hidden="1">'Перечень работ 2023-2025'!$A$5:$W$2026</definedName>
    <definedName name="Z_9CA62F95_4ED3_4097_9AD8_AC1D4D33B0B5_.wvu.FilterData" localSheetId="0" hidden="1">'Перечень работ 2023-2025'!$A$6:$S$1986</definedName>
    <definedName name="Z_9F838FA2_7CAD_4424_810A_1F138FF0C121_.wvu.FilterData" localSheetId="0" hidden="1">'Перечень работ 2023-2025'!$A$5:$W$2026</definedName>
    <definedName name="Z_A0A9F5B1_38EC_43C4_8E4B_F055EC5298EA_.wvu.FilterData" localSheetId="0" hidden="1">'Перечень работ 2023-2025'!$A$1:$S$2038</definedName>
    <definedName name="Z_A0BD08BE_5620_4D8D_9237_E4BCDE731FFE_.wvu.FilterData" localSheetId="0" hidden="1">'Перечень работ 2023-2025'!$A$6:$S$1986</definedName>
    <definedName name="Z_A1CAE878_D00C_4C71_BA5C_5F56B4B4C279_.wvu.FilterData" localSheetId="0" hidden="1">'Перечень работ 2023-2025'!$A$5:$W$1986</definedName>
    <definedName name="Z_A2125A5F_6126_4D1D_BEBD_1956C81118AC_.wvu.FilterData" localSheetId="0" hidden="1">'Перечень работ 2023-2025'!$A$6:$S$1986</definedName>
    <definedName name="Z_A34E5C7C_9BC7_4D8E_9944_EEA245324101_.wvu.FilterData" localSheetId="0" hidden="1">'Перечень работ 2023-2025'!$A$6:$W$1986</definedName>
    <definedName name="Z_A4C37312_9CB2_4FEA_8547_1BDBFCEDA945_.wvu.FilterData" localSheetId="0" hidden="1">'Перечень работ 2023-2025'!$A$5:$W$2026</definedName>
    <definedName name="Z_A4F9EE92_E5F1_4C63_AA07_851DF13E0B47_.wvu.FilterData" localSheetId="0" hidden="1">'Перечень работ 2023-2025'!$A$6:$W$1986</definedName>
    <definedName name="Z_A8D6BFE8_4A5B_4E08_BD91_6F6C08904435_.wvu.FilterData" localSheetId="0" hidden="1">'Перечень работ 2023-2025'!$A$6:$S$1986</definedName>
    <definedName name="Z_A8E6960A_F277_4ABA_89AA_353C68012CBF_.wvu.FilterData" localSheetId="0" hidden="1">'Перечень работ 2023-2025'!$A$6:$W$1986</definedName>
    <definedName name="Z_A959BBF0_9B34_4BDA_9DC6_CBE1385F8A30_.wvu.FilterData" localSheetId="0" hidden="1">'Перечень работ 2023-2025'!$A$6:$S$1986</definedName>
    <definedName name="Z_A9E1BCFF_979A_43ED_A080_A8C26D535515_.wvu.FilterData" localSheetId="0" hidden="1">'Перечень работ 2023-2025'!$A$5:$W$2026</definedName>
    <definedName name="Z_AA5EA4B4_F0BD_439C_A09C_39B327FFF96C_.wvu.FilterData" localSheetId="0" hidden="1">'Перечень работ 2023-2025'!$A$5:$W$1986</definedName>
    <definedName name="Z_AAA2A0ED_0008_4486_B768_1698C26F65FD_.wvu.FilterData" localSheetId="0" hidden="1">'Перечень работ 2023-2025'!$A$6:$W$1986</definedName>
    <definedName name="Z_ABB35114_E04D_466C_B5A5_F81097F4E80F_.wvu.FilterData" localSheetId="0" hidden="1">'Перечень работ 2023-2025'!$A$5:$W$2026</definedName>
    <definedName name="Z_ACBD1B22_19FC_4815_9771_E3A93F59A336_.wvu.FilterData" localSheetId="0" hidden="1">'Перечень работ 2023-2025'!$A$6:$S$1986</definedName>
    <definedName name="Z_AD37D63B_1B7F_4363_8A83_9A5B7E42F73B_.wvu.FilterData" localSheetId="0" hidden="1">'Перечень работ 2023-2025'!$A$6:$S$1986</definedName>
    <definedName name="Z_AD3A65C4_31E5_47F6_A1C2_79CED903E238_.wvu.FilterData" localSheetId="0" hidden="1">'Перечень работ 2023-2025'!$A$6:$S$1986</definedName>
    <definedName name="Z_AD88C45A_80B1_4CE6_BD1B_54FB99A727F4_.wvu.FilterData" localSheetId="0" hidden="1">'Перечень работ 2023-2025'!$A$6:$S$1986</definedName>
    <definedName name="Z_AE346A9B_39D8_4523_B3AC_264DC0ECAB4E_.wvu.FilterData" localSheetId="0" hidden="1">'Перечень работ 2023-2025'!$A$6:$W$1986</definedName>
    <definedName name="Z_AE97B379_F153_4E39_8082_8F1B61FD77FB_.wvu.FilterData" localSheetId="0" hidden="1">'Перечень работ 2023-2025'!$A$6:$S$1986</definedName>
    <definedName name="Z_AEB5865F_981C_4F0F_BC46_C1C2BC979279_.wvu.FilterData" localSheetId="0" hidden="1">'Перечень работ 2023-2025'!$A$6:$S$1986</definedName>
    <definedName name="Z_AFC10500_8E0B_4DE8_96B3_2A812DB50D9B_.wvu.FilterData" localSheetId="0" hidden="1">'Перечень работ 2023-2025'!$A$5:$W$2026</definedName>
    <definedName name="Z_B07160C3_1CF7_474C_9A45_7890FB564EDD_.wvu.FilterData" localSheetId="0" hidden="1">'Перечень работ 2023-2025'!$A$4:$W$2026</definedName>
    <definedName name="Z_B0B87318_5831_421E_8C7B_2450F0674A23_.wvu.FilterData" localSheetId="0" hidden="1">'Перечень работ 2023-2025'!$A$6:$W$2026</definedName>
    <definedName name="Z_B0D15F6E_4F82_4839_9709_9876C0886EE3_.wvu.FilterData" localSheetId="0" hidden="1">'Перечень работ 2023-2025'!$A$6:$S$1986</definedName>
    <definedName name="Z_B1461386_9225_4E04_9B02_35747D2BBBC5_.wvu.FilterData" localSheetId="0" hidden="1">'Перечень работ 2023-2025'!$A$5:$W$2026</definedName>
    <definedName name="Z_B238384A_D28D_40A8_92C2_9E3AB7A6278E_.wvu.FilterData" localSheetId="0" hidden="1">'Перечень работ 2023-2025'!$A$6:$S$1986</definedName>
    <definedName name="Z_B278B319_B039_4D6B_A1ED_045AAC668EF6_.wvu.FilterData" localSheetId="0" hidden="1">'Перечень работ 2023-2025'!$A$6:$S$1986</definedName>
    <definedName name="Z_B2EDDA7F_20B1_4693_84ED_998FA940428C_.wvu.FilterData" localSheetId="0" hidden="1">'Перечень работ 2023-2025'!$A$5:$W$1986</definedName>
    <definedName name="Z_B3E3F06E_243D_466A_A331_2D7810616282_.wvu.FilterData" localSheetId="0" hidden="1">'Перечень работ 2023-2025'!$A$5:$W$2026</definedName>
    <definedName name="Z_B509ABF3_B080_4C6A_AB8C_8B89388066DE_.wvu.FilterData" localSheetId="0" hidden="1">'Перечень работ 2023-2025'!$A$5:$W$2026</definedName>
    <definedName name="Z_B667CC4B_3A58_48CD_9CD1_AC18B4A43DEA_.wvu.FilterData" localSheetId="0" hidden="1">'Перечень работ 2023-2025'!$A$4:$W$2026</definedName>
    <definedName name="Z_B73AD7A6_10E0_423B_A83B_82E467A9A136_.wvu.FilterData" localSheetId="0" hidden="1">'Перечень работ 2023-2025'!$A$5:$W$2026</definedName>
    <definedName name="Z_B7AFCD72_4418_4BA9_A19F_B67430BDFFE0_.wvu.FilterData" localSheetId="0" hidden="1">'Перечень работ 2023-2025'!$A$5:$W$1986</definedName>
    <definedName name="Z_B827B199_46EF_4B8C_941D_0F4471D66E7B_.wvu.FilterData" localSheetId="0" hidden="1">'Перечень работ 2023-2025'!$A$4:$W$2026</definedName>
    <definedName name="Z_B8A709E0_DFDF_428A_A840_80F786C57C45_.wvu.FilterData" localSheetId="0" hidden="1">'Перечень работ 2023-2025'!$A$4:$W$2026</definedName>
    <definedName name="Z_B9FDBCB4_D220_48F6_926E_380A83AD1434_.wvu.FilterData" localSheetId="0" hidden="1">'Перечень работ 2023-2025'!$A$6:$W$1986</definedName>
    <definedName name="Z_BA489E31_5A0E_4975_972C_2E39E5AA2C37_.wvu.FilterData" localSheetId="0" hidden="1">'Перечень работ 2023-2025'!$A$5:$W$2026</definedName>
    <definedName name="Z_BA8DAC58_4524_487D_84ED_3EEE32F65287_.wvu.FilterData" localSheetId="0" hidden="1">'Перечень работ 2023-2025'!$A$5:$W$2026</definedName>
    <definedName name="Z_BB1187E0_850C_4346_BBC3_D9D815581E55_.wvu.FilterData" localSheetId="0" hidden="1">'Перечень работ 2023-2025'!$A$6:$S$1986</definedName>
    <definedName name="Z_BBA8B1C9_07A6_4863_B1D1_903E0EBB0FCA_.wvu.FilterData" localSheetId="0" hidden="1">'Перечень работ 2023-2025'!$A$6:$S$1986</definedName>
    <definedName name="Z_BCE69995_DC92_41BE_B116_96F36BF256E2_.wvu.FilterData" localSheetId="0" hidden="1">'Перечень работ 2023-2025'!$A$6:$W$1986</definedName>
    <definedName name="Z_BD00EEB7_498D_4597_8F73_C8D822E65167_.wvu.FilterData" localSheetId="0" hidden="1">'Перечень работ 2023-2025'!$A$5:$W$2026</definedName>
    <definedName name="Z_BDC7A12F_E826_4495_8779_6C59E339D6F7_.wvu.FilterData" localSheetId="0" hidden="1">'Перечень работ 2023-2025'!$A$1:$S$2038</definedName>
    <definedName name="Z_BDD06F0F_5FA2_45E5_AA02_FEB539E00C04_.wvu.FilterData" localSheetId="0" hidden="1">'Перечень работ 2023-2025'!$A$6:$S$1986</definedName>
    <definedName name="Z_BDF8899E_1C2F_4562_A72B_44B174722697_.wvu.FilterData" localSheetId="0" hidden="1">'Перечень работ 2023-2025'!$A$6:$S$1986</definedName>
    <definedName name="Z_BE0F5D44_2E9E_4D02_B3F4_B4A87C9918A1_.wvu.FilterData" localSheetId="0" hidden="1">'Перечень работ 2023-2025'!$A$5:$W$2026</definedName>
    <definedName name="Z_BEF7A1FA_E458_4EB0_99F7_A14A599A1EA1_.wvu.FilterData" localSheetId="0" hidden="1">'Перечень работ 2023-2025'!$A$5:$W$2026</definedName>
    <definedName name="Z_C1D71C05_202D_4839_846E_8170E34EFC0D_.wvu.FilterData" localSheetId="0" hidden="1">'Перечень работ 2023-2025'!$A$6:$S$1986</definedName>
    <definedName name="Z_C21DFE98_6EF6_4AF0_B968_6BD070B8287B_.wvu.FilterData" localSheetId="0" hidden="1">'Перечень работ 2023-2025'!$A$6:$S$1986</definedName>
    <definedName name="Z_C2B6F565_A4D9_4A7F_9775_B0957B345596_.wvu.FilterData" localSheetId="0" hidden="1">'Перечень работ 2023-2025'!$A$6:$W$1986</definedName>
    <definedName name="Z_C2C99869_C812_40B6_AEF7_FB479B0F76B6_.wvu.FilterData" localSheetId="0" hidden="1">'Перечень работ 2023-2025'!$A$5:$W$2026</definedName>
    <definedName name="Z_C362D6E5_44B6_4390_8895_53AAD6542537_.wvu.FilterData" localSheetId="0" hidden="1">'Перечень работ 2023-2025'!$A$6:$S$1986</definedName>
    <definedName name="Z_C4CC1A1A_6A69_4463_BE80_1CBEA239CCE4_.wvu.FilterData" localSheetId="0" hidden="1">'Перечень работ 2023-2025'!$A$6:$W$1986</definedName>
    <definedName name="Z_C68964DC_05E2_4BDF_B5ED_DC9FBD6EA53B_.wvu.FilterData" localSheetId="0" hidden="1">'Перечень работ 2023-2025'!$A$6:$W$1986</definedName>
    <definedName name="Z_C68C0E40_AFC0_4529_8537_336E27EF11B9_.wvu.FilterData" localSheetId="0" hidden="1">'Перечень работ 2023-2025'!$A$5:$W$2026</definedName>
    <definedName name="Z_C6E7E412_E79D_4206_BB90_BB3CED93290D_.wvu.FilterData" localSheetId="0" hidden="1">'Перечень работ 2023-2025'!$A$6:$S$1986</definedName>
    <definedName name="Z_C6F5CD18_5127_4F3E_B4F8_5FE1982A684C_.wvu.FilterData" localSheetId="0" hidden="1">'Перечень работ 2023-2025'!$A$6:$S$1986</definedName>
    <definedName name="Z_C703D3C0_2412_4536_A169_A9A1DBE67323_.wvu.FilterData" localSheetId="0" hidden="1">'Перечень работ 2023-2025'!$A$5:$W$2026</definedName>
    <definedName name="Z_C8F653CB_0F04_47BF_97C3_B3081AD908FD_.wvu.FilterData" localSheetId="0" hidden="1">'Перечень работ 2023-2025'!$A$6:$S$1986</definedName>
    <definedName name="Z_C99B85D6_47FF_4BE8_A10E_AAAD83F2EF89_.wvu.FilterData" localSheetId="0" hidden="1">'Перечень работ 2023-2025'!$A$6:$S$1986</definedName>
    <definedName name="Z_C9F80628_A3C6_46D1_BF88_FCE95F984D93_.wvu.FilterData" localSheetId="0" hidden="1">'Перечень работ 2023-2025'!$A$6:$S$1986</definedName>
    <definedName name="Z_CB9DD4F6_7D76_4EDD_835C_4D0FE6CCF3FF_.wvu.FilterData" localSheetId="0" hidden="1">'Перечень работ 2023-2025'!$A$6:$W$1986</definedName>
    <definedName name="Z_CC6B51B0_77DD_4290_B9FE_3582AC918370_.wvu.FilterData" localSheetId="0" hidden="1">'Перечень работ 2023-2025'!$A$6:$W$1986</definedName>
    <definedName name="Z_CD15DF6B_4EE2_4C3C_BDC1_7B85D0E95747_.wvu.FilterData" localSheetId="0" hidden="1">'Перечень работ 2023-2025'!$A$6:$S$1986</definedName>
    <definedName name="Z_CDC7BABF_1A8D_40B1_830E_AF206A9F1F65_.wvu.FilterData" localSheetId="0" hidden="1">'Перечень работ 2023-2025'!$A$1:$S$2038</definedName>
    <definedName name="Z_CEC587D8_6E1B_4C02_A196_0BE7100EFB4F_.wvu.FilterData" localSheetId="0" hidden="1">'Перечень работ 2023-2025'!$A$5:$W$2026</definedName>
    <definedName name="Z_D061C293_5707_42EE_B390_FBD751F5B0A4_.wvu.FilterData" localSheetId="0" hidden="1">'Перечень работ 2023-2025'!$A$5:$W$2026</definedName>
    <definedName name="Z_D08AD5FE_6CF3_42EA_91D4_D5EA72A2815A_.wvu.FilterData" localSheetId="0" hidden="1">'Перечень работ 2023-2025'!$A$4:$W$2026</definedName>
    <definedName name="Z_D0DA9A5B_959F_41BC_B774_5173F7BB69CE_.wvu.FilterData" localSheetId="0" hidden="1">'Перечень работ 2023-2025'!$A$6:$S$1986</definedName>
    <definedName name="Z_D13A7111_2ED6_44E8_91F5_E214BB780560_.wvu.FilterData" localSheetId="0" hidden="1">'Перечень работ 2023-2025'!$A$1:$W$2027</definedName>
    <definedName name="Z_D1F59E8E_0F85_482C_B391_4008922ABA03_.wvu.FilterData" localSheetId="0" hidden="1">'Перечень работ 2023-2025'!$A$6:$S$1986</definedName>
    <definedName name="Z_D2515DB0_BA25_4E49_8B3D_77196001A511_.wvu.FilterData" localSheetId="0" hidden="1">'Перечень работ 2023-2025'!$A$6:$S$1986</definedName>
    <definedName name="Z_D39751B8_536A_4F47_86AE_AC1277F3F27C_.wvu.FilterData" localSheetId="0" hidden="1">'Перечень работ 2023-2025'!$A$6:$S$1986</definedName>
    <definedName name="Z_D3F08F98_60A2_4361_B90C_34D3D5E17802_.wvu.FilterData" localSheetId="0" hidden="1">'Перечень работ 2023-2025'!$A$5:$W$2026</definedName>
    <definedName name="Z_D6207EA2_AE5F_4FE8_A22A_9291981E9448_.wvu.FilterData" localSheetId="0" hidden="1">'Перечень работ 2023-2025'!$A$5:$W$2026</definedName>
    <definedName name="Z_D7097D59_C625_4081_9DE6_6F25FDDB9815_.wvu.FilterData" localSheetId="0" hidden="1">'Перечень работ 2023-2025'!$A$5:$W$2026</definedName>
    <definedName name="Z_D776B229_9397_4D2E_8BED_761245F7FE54_.wvu.FilterData" localSheetId="0" hidden="1">'Перечень работ 2023-2025'!$A$6:$S$1986</definedName>
    <definedName name="Z_D7A23ADE_C765_4146_8698_8BEA808FB27C_.wvu.FilterData" localSheetId="0" hidden="1">'Перечень работ 2023-2025'!$A$5:$W$2026</definedName>
    <definedName name="Z_D7D1D0F1_A0A4_46BA_A9EA_A0B5AD1D2A10_.wvu.FilterData" localSheetId="0" hidden="1">'Перечень работ 2023-2025'!$A$6:$S$1986</definedName>
    <definedName name="Z_D835A8DE_7DC6_4577_A317_2F4567E52C67_.wvu.FilterData" localSheetId="0" hidden="1">'Перечень работ 2023-2025'!$A$6:$S$1986</definedName>
    <definedName name="Z_D8CB6550_F145_454A_BE7D_23F6D5161603_.wvu.FilterData" localSheetId="0" hidden="1">'Перечень работ 2023-2025'!$A$5:$W$2026</definedName>
    <definedName name="Z_D8D2587C_DCEE_4D61_B950_B75D7CEE4ED1_.wvu.FilterData" localSheetId="0" hidden="1">'Перечень работ 2023-2025'!$A$6:$W$2026</definedName>
    <definedName name="Z_D9095C39_EFE9_4841_9BEB_E93EE0CE8804_.wvu.FilterData" localSheetId="0" hidden="1">'Перечень работ 2023-2025'!$A$5:$W$2026</definedName>
    <definedName name="Z_D9662A17_A1A6_47B4_B06D_B548140CFAD7_.wvu.FilterData" localSheetId="0" hidden="1">'Перечень работ 2023-2025'!$A$6:$W$1986</definedName>
    <definedName name="Z_DA13C81B_E5E9_4111_B220_B142B5DB9EC8_.wvu.FilterData" localSheetId="0" hidden="1">'Перечень работ 2023-2025'!$A$5:$W$2026</definedName>
    <definedName name="Z_DADFAD75_9847_47C9_B58C_E981232EAB21_.wvu.FilterData" localSheetId="0" hidden="1">'Перечень работ 2023-2025'!$A$6:$S$1986</definedName>
    <definedName name="Z_DBB9E756_D783_4AB8_94C0_F0A6F0C50941_.wvu.FilterData" localSheetId="0" hidden="1">'Перечень работ 2023-2025'!$A$5:$W$2026</definedName>
    <definedName name="Z_DBC9C9A7_009A_43BF_B810_41E6C2D195B8_.wvu.FilterData" localSheetId="0" hidden="1">'Перечень работ 2023-2025'!$A$5:$W$1986</definedName>
    <definedName name="Z_DC9D08E2_86BE_4EAB_BAD0_C2FC535075E8_.wvu.FilterData" localSheetId="0" hidden="1">'Перечень работ 2023-2025'!$A$5:$W$2026</definedName>
    <definedName name="Z_DD13ECA0_A732_415D_A411_37B85360F55B_.wvu.FilterData" localSheetId="0" hidden="1">'Перечень работ 2023-2025'!$A$5:$W$2026</definedName>
    <definedName name="Z_DE9561B3_2424_4D4C_A6B4_5CED04B912A8_.wvu.FilterData" localSheetId="0" hidden="1">'Перечень работ 2023-2025'!$A$5:$W$2026</definedName>
    <definedName name="Z_DF2788BA_33CF_457E_8CF0_48743B116865_.wvu.FilterData" localSheetId="0" hidden="1">'Перечень работ 2023-2025'!$A$5:$W$2026</definedName>
    <definedName name="Z_DF32E032_6C59_4FED_98B4_CE5D0A36EF9F_.wvu.FilterData" localSheetId="0" hidden="1">'Перечень работ 2023-2025'!$A$6:$S$1986</definedName>
    <definedName name="Z_E0559117_5EB4_453A_8975_6F8E39C56466_.wvu.FilterData" localSheetId="0" hidden="1">'Перечень работ 2023-2025'!$A$6:$S$1986</definedName>
    <definedName name="Z_E0932ED8_1EEF_43C3_90A5_75260853E358_.wvu.FilterData" localSheetId="0" hidden="1">'Перечень работ 2023-2025'!$A$5:$W$2026</definedName>
    <definedName name="Z_E27DA2DB_FF50_43CD_AC3C_23B0536C831A_.wvu.FilterData" localSheetId="0" hidden="1">'Перечень работ 2023-2025'!$A$6:$S$1986</definedName>
    <definedName name="Z_E295E47B_C8FE_4607_8680_E1F9C8625073_.wvu.FilterData" localSheetId="0" hidden="1">'Перечень работ 2023-2025'!$A$6:$S$1986</definedName>
    <definedName name="Z_E2DD4824_23CA_4001_81EE_83A1419EEC6D_.wvu.FilterData" localSheetId="0" hidden="1">'Перечень работ 2023-2025'!$A$5:$W$2026</definedName>
    <definedName name="Z_E3ED6D7A_651A_4BC7_A7A0_4B7E0AF021B9_.wvu.FilterData" localSheetId="0" hidden="1">'Перечень работ 2023-2025'!$A$6:$S$1986</definedName>
    <definedName name="Z_E512AE05_E5E8_4ACD_B013_C39EDB029A5A_.wvu.FilterData" localSheetId="0" hidden="1">'Перечень работ 2023-2025'!$A$5:$W$2026</definedName>
    <definedName name="Z_E597E648_3C84_4437_8A10_ABC11DFAA285_.wvu.FilterData" localSheetId="0" hidden="1">'Перечень работ 2023-2025'!$A$5:$W$2026</definedName>
    <definedName name="Z_E5CBD86E_C4C1_4095_A511_11092D6D7768_.wvu.FilterData" localSheetId="0" hidden="1">'Перечень работ 2023-2025'!$A$6:$S$1986</definedName>
    <definedName name="Z_E774584C_5A83_45E7_A070_E637B787CB17_.wvu.FilterData" localSheetId="0" hidden="1">'Перечень работ 2023-2025'!$A$5:$W$1986</definedName>
    <definedName name="Z_E816E97A_2E0F_4050_BB02_DB343F593280_.wvu.FilterData" localSheetId="0" hidden="1">'Перечень работ 2023-2025'!$A$6:$S$1986</definedName>
    <definedName name="Z_E845E5DC_BAF6_47AC_BA58_CBC585155D40_.wvu.FilterData" localSheetId="0" hidden="1">'Перечень работ 2023-2025'!$A$6:$S$1986</definedName>
    <definedName name="Z_E8565C3F_6787_4B86_B954_A5607E4A7FB0_.wvu.FilterData" localSheetId="0" hidden="1">'Перечень работ 2023-2025'!$A$6:$S$1986</definedName>
    <definedName name="Z_E875CC43_9BE0_4EBE_A4A2_D5A6AADC9078_.wvu.FilterData" localSheetId="0" hidden="1">'Перечень работ 2023-2025'!$A$5:$W$2026</definedName>
    <definedName name="Z_E9056DD5_5827_4FFD_9D87_473032FECD9F_.wvu.FilterData" localSheetId="0" hidden="1">'Перечень работ 2023-2025'!$A$6:$S$1986</definedName>
    <definedName name="Z_EA6D5EB9_880A_4E24_99B6_6BB83B160681_.wvu.FilterData" localSheetId="0" hidden="1">'Перечень работ 2023-2025'!$A$5:$W$2026</definedName>
    <definedName name="Z_EB379F07_7C36_4778_AF43_B9DACDF3CC61_.wvu.FilterData" localSheetId="0" hidden="1">'Перечень работ 2023-2025'!$A$4:$W$2026</definedName>
    <definedName name="Z_EB7E8D00_7FA7_480C_A301_A701934D49C7_.wvu.FilterData" localSheetId="0" hidden="1">'Перечень работ 2023-2025'!$A$6:$S$1986</definedName>
    <definedName name="Z_ED8C2656_E0ED_4124_96B2_B9A3A5D3CD9B_.wvu.FilterData" localSheetId="0" hidden="1">'Перечень работ 2023-2025'!$A$6:$S$1986</definedName>
    <definedName name="Z_EE50872A_DE51_4C99_A4E7_E948EB432F8C_.wvu.FilterData" localSheetId="0" hidden="1">'Перечень работ 2023-2025'!$A$6:$W$1986</definedName>
    <definedName name="Z_EE50A605_655B_4984_8C85_424761F0D4B4_.wvu.FilterData" localSheetId="0" hidden="1">'Перечень работ 2023-2025'!$A$5:$W$1986</definedName>
    <definedName name="Z_EE56B778_10EF_49B1_A147_85F82D73CEBB_.wvu.FilterData" localSheetId="0" hidden="1">'Перечень работ 2023-2025'!$A$6:$S$1986</definedName>
    <definedName name="Z_EF90E8C7_8BEE_4B92_9D4A_01C94761549F_.wvu.FilterData" localSheetId="0" hidden="1">'Перечень работ 2023-2025'!$A$5:$W$2026</definedName>
    <definedName name="Z_EFE896B8_4EFB_4A21_A472_3AFC89C3DFCB_.wvu.FilterData" localSheetId="0" hidden="1">'Перечень работ 2023-2025'!$A$6:$S$1986</definedName>
    <definedName name="Z_F341D6AE_009C_4718_A207_5E5E8DF0B444_.wvu.FilterData" localSheetId="0" hidden="1">'Перечень работ 2023-2025'!$A$5:$W$1986</definedName>
    <definedName name="Z_F359DC93_6876_4571_A28A_83F68311FA60_.wvu.FilterData" localSheetId="0" hidden="1">'Перечень работ 2023-2025'!$A$1:$W$2027</definedName>
    <definedName name="Z_F5C79DBF_E946_41FA_B696_1303904332FA_.wvu.FilterData" localSheetId="0" hidden="1">'Перечень работ 2023-2025'!$A$6:$S$1986</definedName>
    <definedName name="Z_F605EC63_59E1_4FFB_9700_794890B0C6C8_.wvu.FilterData" localSheetId="0" hidden="1">'Перечень работ 2023-2025'!$A$6:$S$1986</definedName>
    <definedName name="Z_F8CF6A0F_A7DE_4C3E_A0F2_44007AAEF577_.wvu.FilterData" localSheetId="0" hidden="1">'Перечень работ 2023-2025'!$A$6:$S$1986</definedName>
    <definedName name="Z_F902C91D_3613_4321_A33E_E8F4D37878AE_.wvu.FilterData" localSheetId="0" hidden="1">'Перечень работ 2023-2025'!$A$4:$W$2026</definedName>
    <definedName name="Z_F9462FC1_97CA_427B_84C8_91E0FB1F5D0A_.wvu.FilterData" localSheetId="0" hidden="1">'Перечень работ 2023-2025'!$A$5:$W$2026</definedName>
    <definedName name="Z_F968D536_CFD5_483D_B8CE_D49A0A839F16_.wvu.FilterData" localSheetId="0" hidden="1">'Перечень работ 2023-2025'!$A$5:$W$2026</definedName>
    <definedName name="Z_FAE7164D_3BA5_49A4_A4D2_51B9E8914FF6_.wvu.FilterData" localSheetId="0" hidden="1">'Перечень работ 2023-2025'!$A$6:$S$1986</definedName>
    <definedName name="Z_FB647AF6_8165_4599_928D_7F46C15A30DB_.wvu.FilterData" localSheetId="0" hidden="1">'Перечень работ 2023-2025'!$A$5:$W$2026</definedName>
    <definedName name="Z_FB993999_0B4E_4874_8EEC_8835438527F4_.wvu.FilterData" localSheetId="0" hidden="1">'Перечень работ 2023-2025'!$A$6:$S$1986</definedName>
    <definedName name="Z_FE94E208_CE56_4CEF_B3FE_99146C31BC9A_.wvu.FilterData" localSheetId="0" hidden="1">'Перечень работ 2023-2025'!$A$6:$S$1986</definedName>
  </definedNames>
  <calcPr calcId="191029"/>
  <customWorkbookViews>
    <customWorkbookView name="Стригун Олеся Владимировна - Личное представление" guid="{A9E1BCFF-979A-43ED-A080-A8C26D535515}" mergeInterval="0" personalView="1" maximized="1" xWindow="-8" yWindow="-8" windowWidth="1936" windowHeight="1056" activeSheetId="1"/>
    <customWorkbookView name="Вонжина Александра Николаевна - Личное представление" guid="{D8D2587C-DCEE-4D61-B950-B75D7CEE4ED1}" mergeInterval="0" personalView="1" maximized="1" xWindow="-1928" yWindow="1" windowWidth="1936" windowHeight="1056" activeSheetId="1"/>
    <customWorkbookView name="Бронских Анастасия Александровна - Личное представление" guid="{D9095C39-EFE9-4841-9BEB-E93EE0CE8804}" mergeInterval="0" personalView="1" maximized="1" xWindow="-8" yWindow="-8" windowWidth="1936" windowHeight="1056" activeSheetId="1"/>
    <customWorkbookView name="Кожиченков АА - Личное представление" guid="{7943EDF8-721C-425F-B30C-B4119EB253C1}" autoUpdate="1" mergeInterval="5" personalView="1" maximized="1" xWindow="-8" yWindow="-8" windowWidth="1936" windowHeight="1056" activeSheetId="1"/>
    <customWorkbookView name="Чалова Наталья Юрьевна - Личное представление" guid="{1988759E-2E7C-4AA1-AF87-D2B689504BD0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07" i="1" l="1"/>
  <c r="C1901" i="1"/>
  <c r="C1896" i="1"/>
  <c r="C1868" i="1"/>
  <c r="C1843" i="1"/>
  <c r="C1686" i="1" l="1"/>
  <c r="C1861" i="1"/>
  <c r="C1789" i="1"/>
  <c r="C1986" i="1" l="1"/>
  <c r="C1812" i="1"/>
  <c r="C1777" i="1"/>
  <c r="C1558" i="1"/>
  <c r="C18" i="1"/>
  <c r="C1181" i="1"/>
  <c r="C1876" i="1"/>
  <c r="J1860" i="1" l="1"/>
  <c r="I1860" i="1"/>
  <c r="H1860" i="1"/>
  <c r="C1858" i="1"/>
  <c r="Q1911" i="1" l="1"/>
  <c r="P1911" i="1"/>
  <c r="O1911" i="1"/>
  <c r="G1911" i="1"/>
  <c r="F1911" i="1"/>
  <c r="C1281" i="1"/>
  <c r="Q1282" i="1"/>
  <c r="P1282" i="1"/>
  <c r="O1282" i="1"/>
  <c r="J1282" i="1"/>
  <c r="I1282" i="1"/>
  <c r="H1282" i="1"/>
  <c r="G1282" i="1"/>
  <c r="F1282" i="1"/>
  <c r="D1282" i="1"/>
  <c r="C1334" i="1"/>
  <c r="C1335" i="1"/>
  <c r="C1735" i="1"/>
  <c r="C859" i="1"/>
  <c r="E2026" i="1"/>
  <c r="F2026" i="1"/>
  <c r="G2026" i="1"/>
  <c r="H2026" i="1"/>
  <c r="I2026" i="1"/>
  <c r="J2026" i="1"/>
  <c r="K2026" i="1"/>
  <c r="L2026" i="1"/>
  <c r="M2026" i="1"/>
  <c r="O2026" i="1"/>
  <c r="P2026" i="1"/>
  <c r="Q2026" i="1"/>
  <c r="R2026" i="1"/>
  <c r="S2026" i="1"/>
  <c r="E2001" i="1"/>
  <c r="F2001" i="1"/>
  <c r="G2001" i="1"/>
  <c r="H2001" i="1"/>
  <c r="I2001" i="1"/>
  <c r="J2001" i="1"/>
  <c r="K2001" i="1"/>
  <c r="L2001" i="1"/>
  <c r="M2001" i="1"/>
  <c r="O2001" i="1"/>
  <c r="P2001" i="1"/>
  <c r="Q2001" i="1"/>
  <c r="R2001" i="1"/>
  <c r="S2001" i="1"/>
  <c r="E1961" i="1"/>
  <c r="F1961" i="1"/>
  <c r="G1961" i="1"/>
  <c r="H1961" i="1"/>
  <c r="I1961" i="1"/>
  <c r="J1961" i="1"/>
  <c r="K1961" i="1"/>
  <c r="L1961" i="1"/>
  <c r="M1961" i="1"/>
  <c r="O1961" i="1"/>
  <c r="P1961" i="1"/>
  <c r="Q1961" i="1"/>
  <c r="R1961" i="1"/>
  <c r="S1961" i="1"/>
  <c r="E1952" i="1"/>
  <c r="F1952" i="1"/>
  <c r="J1952" i="1"/>
  <c r="K1952" i="1"/>
  <c r="L1952" i="1"/>
  <c r="M1952" i="1"/>
  <c r="O1952" i="1"/>
  <c r="P1952" i="1"/>
  <c r="Q1952" i="1"/>
  <c r="R1952" i="1"/>
  <c r="S1952" i="1"/>
  <c r="K1911" i="1"/>
  <c r="L1911" i="1"/>
  <c r="M1911" i="1"/>
  <c r="S1911" i="1"/>
  <c r="E1807" i="1"/>
  <c r="F1807" i="1"/>
  <c r="G1807" i="1"/>
  <c r="H1807" i="1"/>
  <c r="I1807" i="1"/>
  <c r="J1807" i="1"/>
  <c r="K1807" i="1"/>
  <c r="L1807" i="1"/>
  <c r="M1807" i="1"/>
  <c r="O1807" i="1"/>
  <c r="P1807" i="1"/>
  <c r="Q1807" i="1"/>
  <c r="R1807" i="1"/>
  <c r="S1807" i="1"/>
  <c r="E1796" i="1"/>
  <c r="F1796" i="1"/>
  <c r="G1796" i="1"/>
  <c r="H1796" i="1"/>
  <c r="I1796" i="1"/>
  <c r="J1796" i="1"/>
  <c r="K1796" i="1"/>
  <c r="L1796" i="1"/>
  <c r="M1796" i="1"/>
  <c r="O1796" i="1"/>
  <c r="P1796" i="1"/>
  <c r="Q1796" i="1"/>
  <c r="R1796" i="1"/>
  <c r="S1796" i="1"/>
  <c r="F1790" i="1"/>
  <c r="G1790" i="1"/>
  <c r="H1790" i="1"/>
  <c r="I1790" i="1"/>
  <c r="J1790" i="1"/>
  <c r="K1790" i="1"/>
  <c r="L1790" i="1"/>
  <c r="M1790" i="1"/>
  <c r="O1790" i="1"/>
  <c r="P1790" i="1"/>
  <c r="Q1790" i="1"/>
  <c r="R1790" i="1"/>
  <c r="S1790" i="1"/>
  <c r="E1770" i="1"/>
  <c r="F1770" i="1"/>
  <c r="G1770" i="1"/>
  <c r="H1770" i="1"/>
  <c r="I1770" i="1"/>
  <c r="J1770" i="1"/>
  <c r="K1770" i="1"/>
  <c r="L1770" i="1"/>
  <c r="M1770" i="1"/>
  <c r="O1770" i="1"/>
  <c r="P1770" i="1"/>
  <c r="Q1770" i="1"/>
  <c r="R1770" i="1"/>
  <c r="S1770" i="1"/>
  <c r="E1762" i="1"/>
  <c r="F1762" i="1"/>
  <c r="G1762" i="1"/>
  <c r="H1762" i="1"/>
  <c r="I1762" i="1"/>
  <c r="J1762" i="1"/>
  <c r="K1762" i="1"/>
  <c r="L1762" i="1"/>
  <c r="M1762" i="1"/>
  <c r="O1762" i="1"/>
  <c r="P1762" i="1"/>
  <c r="Q1762" i="1"/>
  <c r="R1762" i="1"/>
  <c r="S1762" i="1"/>
  <c r="D1762" i="1"/>
  <c r="E1748" i="1"/>
  <c r="F1748" i="1"/>
  <c r="G1748" i="1"/>
  <c r="H1748" i="1"/>
  <c r="I1748" i="1"/>
  <c r="J1748" i="1"/>
  <c r="K1748" i="1"/>
  <c r="L1748" i="1"/>
  <c r="M1748" i="1"/>
  <c r="O1748" i="1"/>
  <c r="P1748" i="1"/>
  <c r="Q1748" i="1"/>
  <c r="R1748" i="1"/>
  <c r="S1748" i="1"/>
  <c r="F1733" i="1"/>
  <c r="G1733" i="1"/>
  <c r="H1733" i="1"/>
  <c r="I1733" i="1"/>
  <c r="J1733" i="1"/>
  <c r="K1733" i="1"/>
  <c r="L1733" i="1"/>
  <c r="M1733" i="1"/>
  <c r="O1733" i="1"/>
  <c r="P1733" i="1"/>
  <c r="Q1733" i="1"/>
  <c r="R1733" i="1"/>
  <c r="S1733" i="1"/>
  <c r="E1624" i="1"/>
  <c r="F1624" i="1"/>
  <c r="G1624" i="1"/>
  <c r="H1624" i="1"/>
  <c r="I1624" i="1"/>
  <c r="J1624" i="1"/>
  <c r="K1624" i="1"/>
  <c r="L1624" i="1"/>
  <c r="M1624" i="1"/>
  <c r="O1624" i="1"/>
  <c r="P1624" i="1"/>
  <c r="Q1624" i="1"/>
  <c r="R1624" i="1"/>
  <c r="S1624" i="1"/>
  <c r="F1615" i="1"/>
  <c r="G1615" i="1"/>
  <c r="H1615" i="1"/>
  <c r="I1615" i="1"/>
  <c r="J1615" i="1"/>
  <c r="K1615" i="1"/>
  <c r="L1615" i="1"/>
  <c r="M1615" i="1"/>
  <c r="O1615" i="1"/>
  <c r="P1615" i="1"/>
  <c r="Q1615" i="1"/>
  <c r="R1615" i="1"/>
  <c r="S1615" i="1"/>
  <c r="E1574" i="1"/>
  <c r="F1574" i="1"/>
  <c r="G1574" i="1"/>
  <c r="H1574" i="1"/>
  <c r="I1574" i="1"/>
  <c r="J1574" i="1"/>
  <c r="K1574" i="1"/>
  <c r="L1574" i="1"/>
  <c r="M1574" i="1"/>
  <c r="O1574" i="1"/>
  <c r="P1574" i="1"/>
  <c r="Q1574" i="1"/>
  <c r="R1574" i="1"/>
  <c r="S1574" i="1"/>
  <c r="E1568" i="1"/>
  <c r="F1568" i="1"/>
  <c r="G1568" i="1"/>
  <c r="H1568" i="1"/>
  <c r="I1568" i="1"/>
  <c r="J1568" i="1"/>
  <c r="K1568" i="1"/>
  <c r="L1568" i="1"/>
  <c r="M1568" i="1"/>
  <c r="O1568" i="1"/>
  <c r="P1568" i="1"/>
  <c r="Q1568" i="1"/>
  <c r="R1568" i="1"/>
  <c r="S1568" i="1"/>
  <c r="E1554" i="1"/>
  <c r="F1554" i="1"/>
  <c r="G1554" i="1"/>
  <c r="H1554" i="1"/>
  <c r="I1554" i="1"/>
  <c r="J1554" i="1"/>
  <c r="K1554" i="1"/>
  <c r="L1554" i="1"/>
  <c r="M1554" i="1"/>
  <c r="O1554" i="1"/>
  <c r="P1554" i="1"/>
  <c r="Q1554" i="1"/>
  <c r="R1554" i="1"/>
  <c r="S1554" i="1"/>
  <c r="E1547" i="1"/>
  <c r="F1547" i="1"/>
  <c r="G1547" i="1"/>
  <c r="H1547" i="1"/>
  <c r="I1547" i="1"/>
  <c r="J1547" i="1"/>
  <c r="K1547" i="1"/>
  <c r="L1547" i="1"/>
  <c r="M1547" i="1"/>
  <c r="O1547" i="1"/>
  <c r="P1547" i="1"/>
  <c r="Q1547" i="1"/>
  <c r="R1547" i="1"/>
  <c r="S1547" i="1"/>
  <c r="E1515" i="1"/>
  <c r="F1515" i="1"/>
  <c r="G1515" i="1"/>
  <c r="H1515" i="1"/>
  <c r="I1515" i="1"/>
  <c r="J1515" i="1"/>
  <c r="K1515" i="1"/>
  <c r="L1515" i="1"/>
  <c r="M1515" i="1"/>
  <c r="O1515" i="1"/>
  <c r="P1515" i="1"/>
  <c r="Q1515" i="1"/>
  <c r="R1515" i="1"/>
  <c r="S1515" i="1"/>
  <c r="E1506" i="1"/>
  <c r="F1506" i="1"/>
  <c r="G1506" i="1"/>
  <c r="H1506" i="1"/>
  <c r="I1506" i="1"/>
  <c r="J1506" i="1"/>
  <c r="K1506" i="1"/>
  <c r="L1506" i="1"/>
  <c r="M1506" i="1"/>
  <c r="O1506" i="1"/>
  <c r="P1506" i="1"/>
  <c r="Q1506" i="1"/>
  <c r="R1506" i="1"/>
  <c r="S1506" i="1"/>
  <c r="E1487" i="1"/>
  <c r="F1487" i="1"/>
  <c r="G1487" i="1"/>
  <c r="H1487" i="1"/>
  <c r="I1487" i="1"/>
  <c r="J1487" i="1"/>
  <c r="K1487" i="1"/>
  <c r="L1487" i="1"/>
  <c r="M1487" i="1"/>
  <c r="O1487" i="1"/>
  <c r="P1487" i="1"/>
  <c r="Q1487" i="1"/>
  <c r="R1487" i="1"/>
  <c r="S1487" i="1"/>
  <c r="E1469" i="1"/>
  <c r="F1469" i="1"/>
  <c r="G1469" i="1"/>
  <c r="H1469" i="1"/>
  <c r="I1469" i="1"/>
  <c r="J1469" i="1"/>
  <c r="K1469" i="1"/>
  <c r="L1469" i="1"/>
  <c r="M1469" i="1"/>
  <c r="O1469" i="1"/>
  <c r="P1469" i="1"/>
  <c r="Q1469" i="1"/>
  <c r="R1469" i="1"/>
  <c r="S1469" i="1"/>
  <c r="E1450" i="1"/>
  <c r="F1450" i="1"/>
  <c r="G1450" i="1"/>
  <c r="H1450" i="1"/>
  <c r="I1450" i="1"/>
  <c r="J1450" i="1"/>
  <c r="K1450" i="1"/>
  <c r="L1450" i="1"/>
  <c r="M1450" i="1"/>
  <c r="O1450" i="1"/>
  <c r="P1450" i="1"/>
  <c r="S1450" i="1"/>
  <c r="E1387" i="1"/>
  <c r="F1387" i="1"/>
  <c r="H1387" i="1"/>
  <c r="I1387" i="1"/>
  <c r="J1387" i="1"/>
  <c r="K1387" i="1"/>
  <c r="L1387" i="1"/>
  <c r="M1387" i="1"/>
  <c r="P1387" i="1"/>
  <c r="S1387" i="1"/>
  <c r="E1312" i="1"/>
  <c r="F1312" i="1"/>
  <c r="G1312" i="1"/>
  <c r="H1312" i="1"/>
  <c r="I1312" i="1"/>
  <c r="J1312" i="1"/>
  <c r="K1312" i="1"/>
  <c r="L1312" i="1"/>
  <c r="M1312" i="1"/>
  <c r="O1312" i="1"/>
  <c r="P1312" i="1"/>
  <c r="Q1312" i="1"/>
  <c r="R1312" i="1"/>
  <c r="S1312" i="1"/>
  <c r="E1299" i="1"/>
  <c r="F1299" i="1"/>
  <c r="G1299" i="1"/>
  <c r="H1299" i="1"/>
  <c r="I1299" i="1"/>
  <c r="J1299" i="1"/>
  <c r="K1299" i="1"/>
  <c r="L1299" i="1"/>
  <c r="M1299" i="1"/>
  <c r="O1299" i="1"/>
  <c r="P1299" i="1"/>
  <c r="Q1299" i="1"/>
  <c r="R1299" i="1"/>
  <c r="S1299" i="1"/>
  <c r="E1282" i="1"/>
  <c r="K1282" i="1"/>
  <c r="L1282" i="1"/>
  <c r="M1282" i="1"/>
  <c r="R1282" i="1"/>
  <c r="S1282" i="1"/>
  <c r="E1271" i="1"/>
  <c r="F1271" i="1"/>
  <c r="G1271" i="1"/>
  <c r="H1271" i="1"/>
  <c r="I1271" i="1"/>
  <c r="J1271" i="1"/>
  <c r="K1271" i="1"/>
  <c r="L1271" i="1"/>
  <c r="M1271" i="1"/>
  <c r="O1271" i="1"/>
  <c r="P1271" i="1"/>
  <c r="Q1271" i="1"/>
  <c r="R1271" i="1"/>
  <c r="S1271" i="1"/>
  <c r="E1254" i="1"/>
  <c r="F1254" i="1"/>
  <c r="G1254" i="1"/>
  <c r="H1254" i="1"/>
  <c r="I1254" i="1"/>
  <c r="J1254" i="1"/>
  <c r="K1254" i="1"/>
  <c r="L1254" i="1"/>
  <c r="M1254" i="1"/>
  <c r="O1254" i="1"/>
  <c r="P1254" i="1"/>
  <c r="Q1254" i="1"/>
  <c r="R1254" i="1"/>
  <c r="S1254" i="1"/>
  <c r="E1242" i="1"/>
  <c r="F1242" i="1"/>
  <c r="G1242" i="1"/>
  <c r="H1242" i="1"/>
  <c r="I1242" i="1"/>
  <c r="J1242" i="1"/>
  <c r="K1242" i="1"/>
  <c r="L1242" i="1"/>
  <c r="M1242" i="1"/>
  <c r="O1242" i="1"/>
  <c r="P1242" i="1"/>
  <c r="Q1242" i="1"/>
  <c r="R1242" i="1"/>
  <c r="S1242" i="1"/>
  <c r="E1202" i="1"/>
  <c r="F1202" i="1"/>
  <c r="G1202" i="1"/>
  <c r="H1202" i="1"/>
  <c r="I1202" i="1"/>
  <c r="J1202" i="1"/>
  <c r="K1202" i="1"/>
  <c r="L1202" i="1"/>
  <c r="M1202" i="1"/>
  <c r="O1202" i="1"/>
  <c r="P1202" i="1"/>
  <c r="Q1202" i="1"/>
  <c r="R1202" i="1"/>
  <c r="S1202" i="1"/>
  <c r="E1197" i="1"/>
  <c r="F1197" i="1"/>
  <c r="G1197" i="1"/>
  <c r="H1197" i="1"/>
  <c r="I1197" i="1"/>
  <c r="J1197" i="1"/>
  <c r="K1197" i="1"/>
  <c r="L1197" i="1"/>
  <c r="M1197" i="1"/>
  <c r="O1197" i="1"/>
  <c r="P1197" i="1"/>
  <c r="Q1197" i="1"/>
  <c r="R1197" i="1"/>
  <c r="S1197" i="1"/>
  <c r="E1138" i="1"/>
  <c r="F1138" i="1"/>
  <c r="G1138" i="1"/>
  <c r="H1138" i="1"/>
  <c r="I1138" i="1"/>
  <c r="J1138" i="1"/>
  <c r="K1138" i="1"/>
  <c r="L1138" i="1"/>
  <c r="M1138" i="1"/>
  <c r="O1138" i="1"/>
  <c r="P1138" i="1"/>
  <c r="Q1138" i="1"/>
  <c r="R1138" i="1"/>
  <c r="S1138" i="1"/>
  <c r="E1128" i="1"/>
  <c r="F1128" i="1"/>
  <c r="G1128" i="1"/>
  <c r="H1128" i="1"/>
  <c r="I1128" i="1"/>
  <c r="J1128" i="1"/>
  <c r="K1128" i="1"/>
  <c r="L1128" i="1"/>
  <c r="M1128" i="1"/>
  <c r="O1128" i="1"/>
  <c r="P1128" i="1"/>
  <c r="Q1128" i="1"/>
  <c r="R1128" i="1"/>
  <c r="S1128" i="1"/>
  <c r="E1066" i="1"/>
  <c r="F1066" i="1"/>
  <c r="G1066" i="1"/>
  <c r="H1066" i="1"/>
  <c r="I1066" i="1"/>
  <c r="J1066" i="1"/>
  <c r="K1066" i="1"/>
  <c r="L1066" i="1"/>
  <c r="M1066" i="1"/>
  <c r="O1066" i="1"/>
  <c r="P1066" i="1"/>
  <c r="Q1066" i="1"/>
  <c r="R1066" i="1"/>
  <c r="S1066" i="1"/>
  <c r="E1052" i="1"/>
  <c r="F1052" i="1"/>
  <c r="G1052" i="1"/>
  <c r="H1052" i="1"/>
  <c r="I1052" i="1"/>
  <c r="J1052" i="1"/>
  <c r="K1052" i="1"/>
  <c r="L1052" i="1"/>
  <c r="M1052" i="1"/>
  <c r="O1052" i="1"/>
  <c r="P1052" i="1"/>
  <c r="Q1052" i="1"/>
  <c r="R1052" i="1"/>
  <c r="S1052" i="1"/>
  <c r="E1022" i="1"/>
  <c r="F1022" i="1"/>
  <c r="G1022" i="1"/>
  <c r="H1022" i="1"/>
  <c r="I1022" i="1"/>
  <c r="J1022" i="1"/>
  <c r="K1022" i="1"/>
  <c r="L1022" i="1"/>
  <c r="M1022" i="1"/>
  <c r="O1022" i="1"/>
  <c r="P1022" i="1"/>
  <c r="Q1022" i="1"/>
  <c r="R1022" i="1"/>
  <c r="S1022" i="1"/>
  <c r="E1009" i="1"/>
  <c r="F1009" i="1"/>
  <c r="G1009" i="1"/>
  <c r="H1009" i="1"/>
  <c r="I1009" i="1"/>
  <c r="J1009" i="1"/>
  <c r="K1009" i="1"/>
  <c r="L1009" i="1"/>
  <c r="M1009" i="1"/>
  <c r="O1009" i="1"/>
  <c r="P1009" i="1"/>
  <c r="Q1009" i="1"/>
  <c r="R1009" i="1"/>
  <c r="S1009" i="1"/>
  <c r="E976" i="1"/>
  <c r="F976" i="1"/>
  <c r="G976" i="1"/>
  <c r="H976" i="1"/>
  <c r="I976" i="1"/>
  <c r="J976" i="1"/>
  <c r="K976" i="1"/>
  <c r="L976" i="1"/>
  <c r="M976" i="1"/>
  <c r="O976" i="1"/>
  <c r="P976" i="1"/>
  <c r="Q976" i="1"/>
  <c r="R976" i="1"/>
  <c r="S976" i="1"/>
  <c r="E966" i="1"/>
  <c r="F966" i="1"/>
  <c r="G966" i="1"/>
  <c r="H966" i="1"/>
  <c r="I966" i="1"/>
  <c r="J966" i="1"/>
  <c r="K966" i="1"/>
  <c r="L966" i="1"/>
  <c r="M966" i="1"/>
  <c r="O966" i="1"/>
  <c r="P966" i="1"/>
  <c r="Q966" i="1"/>
  <c r="R966" i="1"/>
  <c r="S966" i="1"/>
  <c r="E931" i="1"/>
  <c r="F931" i="1"/>
  <c r="G931" i="1"/>
  <c r="H931" i="1"/>
  <c r="I931" i="1"/>
  <c r="J931" i="1"/>
  <c r="K931" i="1"/>
  <c r="L931" i="1"/>
  <c r="M931" i="1"/>
  <c r="O931" i="1"/>
  <c r="P931" i="1"/>
  <c r="Q931" i="1"/>
  <c r="R931" i="1"/>
  <c r="S931" i="1"/>
  <c r="E880" i="1"/>
  <c r="F880" i="1"/>
  <c r="G880" i="1"/>
  <c r="H880" i="1"/>
  <c r="I880" i="1"/>
  <c r="J880" i="1"/>
  <c r="K880" i="1"/>
  <c r="L880" i="1"/>
  <c r="M880" i="1"/>
  <c r="O880" i="1"/>
  <c r="P880" i="1"/>
  <c r="Q880" i="1"/>
  <c r="R880" i="1"/>
  <c r="S880" i="1"/>
  <c r="E857" i="1"/>
  <c r="F857" i="1"/>
  <c r="G857" i="1"/>
  <c r="H857" i="1"/>
  <c r="I857" i="1"/>
  <c r="J857" i="1"/>
  <c r="K857" i="1"/>
  <c r="L857" i="1"/>
  <c r="M857" i="1"/>
  <c r="O857" i="1"/>
  <c r="P857" i="1"/>
  <c r="Q857" i="1"/>
  <c r="R857" i="1"/>
  <c r="S857" i="1"/>
  <c r="E762" i="1"/>
  <c r="F762" i="1"/>
  <c r="G762" i="1"/>
  <c r="H762" i="1"/>
  <c r="I762" i="1"/>
  <c r="J762" i="1"/>
  <c r="K762" i="1"/>
  <c r="L762" i="1"/>
  <c r="M762" i="1"/>
  <c r="O762" i="1"/>
  <c r="P762" i="1"/>
  <c r="Q762" i="1"/>
  <c r="R762" i="1"/>
  <c r="S762" i="1"/>
  <c r="E553" i="1"/>
  <c r="F553" i="1"/>
  <c r="G553" i="1"/>
  <c r="H553" i="1"/>
  <c r="I553" i="1"/>
  <c r="J553" i="1"/>
  <c r="K553" i="1"/>
  <c r="L553" i="1"/>
  <c r="M553" i="1"/>
  <c r="O553" i="1"/>
  <c r="P553" i="1"/>
  <c r="Q553" i="1"/>
  <c r="R553" i="1"/>
  <c r="S553" i="1"/>
  <c r="E530" i="1"/>
  <c r="F530" i="1"/>
  <c r="G530" i="1"/>
  <c r="H530" i="1"/>
  <c r="I530" i="1"/>
  <c r="J530" i="1"/>
  <c r="K530" i="1"/>
  <c r="L530" i="1"/>
  <c r="M530" i="1"/>
  <c r="O530" i="1"/>
  <c r="P530" i="1"/>
  <c r="Q530" i="1"/>
  <c r="R530" i="1"/>
  <c r="S530" i="1"/>
  <c r="E507" i="1"/>
  <c r="F507" i="1"/>
  <c r="G507" i="1"/>
  <c r="H507" i="1"/>
  <c r="I507" i="1"/>
  <c r="J507" i="1"/>
  <c r="K507" i="1"/>
  <c r="L507" i="1"/>
  <c r="M507" i="1"/>
  <c r="O507" i="1"/>
  <c r="P507" i="1"/>
  <c r="Q507" i="1"/>
  <c r="R507" i="1"/>
  <c r="S507" i="1"/>
  <c r="E481" i="1"/>
  <c r="F481" i="1"/>
  <c r="G481" i="1"/>
  <c r="H481" i="1"/>
  <c r="I481" i="1"/>
  <c r="J481" i="1"/>
  <c r="K481" i="1"/>
  <c r="L481" i="1"/>
  <c r="M481" i="1"/>
  <c r="O481" i="1"/>
  <c r="P481" i="1"/>
  <c r="Q481" i="1"/>
  <c r="R481" i="1"/>
  <c r="S481" i="1"/>
  <c r="E458" i="1"/>
  <c r="F458" i="1"/>
  <c r="G458" i="1"/>
  <c r="H458" i="1"/>
  <c r="I458" i="1"/>
  <c r="J458" i="1"/>
  <c r="K458" i="1"/>
  <c r="L458" i="1"/>
  <c r="M458" i="1"/>
  <c r="O458" i="1"/>
  <c r="P458" i="1"/>
  <c r="Q458" i="1"/>
  <c r="R458" i="1"/>
  <c r="S458" i="1"/>
  <c r="E445" i="1"/>
  <c r="F445" i="1"/>
  <c r="G445" i="1"/>
  <c r="H445" i="1"/>
  <c r="I445" i="1"/>
  <c r="J445" i="1"/>
  <c r="K445" i="1"/>
  <c r="L445" i="1"/>
  <c r="M445" i="1"/>
  <c r="O445" i="1"/>
  <c r="P445" i="1"/>
  <c r="Q445" i="1"/>
  <c r="R445" i="1"/>
  <c r="S445" i="1"/>
  <c r="E401" i="1"/>
  <c r="F401" i="1"/>
  <c r="G401" i="1"/>
  <c r="H401" i="1"/>
  <c r="I401" i="1"/>
  <c r="J401" i="1"/>
  <c r="K401" i="1"/>
  <c r="L401" i="1"/>
  <c r="M401" i="1"/>
  <c r="O401" i="1"/>
  <c r="P401" i="1"/>
  <c r="Q401" i="1"/>
  <c r="R401" i="1"/>
  <c r="S401" i="1"/>
  <c r="E385" i="1"/>
  <c r="F385" i="1"/>
  <c r="G385" i="1"/>
  <c r="H385" i="1"/>
  <c r="I385" i="1"/>
  <c r="J385" i="1"/>
  <c r="K385" i="1"/>
  <c r="L385" i="1"/>
  <c r="M385" i="1"/>
  <c r="O385" i="1"/>
  <c r="P385" i="1"/>
  <c r="Q385" i="1"/>
  <c r="R385" i="1"/>
  <c r="S385" i="1"/>
  <c r="E278" i="1"/>
  <c r="F278" i="1"/>
  <c r="G278" i="1"/>
  <c r="H278" i="1"/>
  <c r="I278" i="1"/>
  <c r="J278" i="1"/>
  <c r="K278" i="1"/>
  <c r="L278" i="1"/>
  <c r="M278" i="1"/>
  <c r="O278" i="1"/>
  <c r="P278" i="1"/>
  <c r="Q278" i="1"/>
  <c r="R278" i="1"/>
  <c r="S278" i="1"/>
  <c r="E244" i="1"/>
  <c r="F244" i="1"/>
  <c r="G244" i="1"/>
  <c r="H244" i="1"/>
  <c r="I244" i="1"/>
  <c r="J244" i="1"/>
  <c r="K244" i="1"/>
  <c r="L244" i="1"/>
  <c r="M244" i="1"/>
  <c r="O244" i="1"/>
  <c r="P244" i="1"/>
  <c r="Q244" i="1"/>
  <c r="R244" i="1"/>
  <c r="S244" i="1"/>
  <c r="E147" i="1"/>
  <c r="F147" i="1"/>
  <c r="G147" i="1"/>
  <c r="H147" i="1"/>
  <c r="I147" i="1"/>
  <c r="J147" i="1"/>
  <c r="K147" i="1"/>
  <c r="L147" i="1"/>
  <c r="M147" i="1"/>
  <c r="O147" i="1"/>
  <c r="P147" i="1"/>
  <c r="Q147" i="1"/>
  <c r="R147" i="1"/>
  <c r="S147" i="1"/>
  <c r="E131" i="1"/>
  <c r="F131" i="1"/>
  <c r="G131" i="1"/>
  <c r="H131" i="1"/>
  <c r="I131" i="1"/>
  <c r="J131" i="1"/>
  <c r="K131" i="1"/>
  <c r="L131" i="1"/>
  <c r="M131" i="1"/>
  <c r="O131" i="1"/>
  <c r="P131" i="1"/>
  <c r="Q131" i="1"/>
  <c r="R131" i="1"/>
  <c r="S131" i="1"/>
  <c r="E99" i="1"/>
  <c r="F99" i="1"/>
  <c r="G99" i="1"/>
  <c r="H99" i="1"/>
  <c r="I99" i="1"/>
  <c r="J99" i="1"/>
  <c r="K99" i="1"/>
  <c r="L99" i="1"/>
  <c r="M99" i="1"/>
  <c r="O99" i="1"/>
  <c r="P99" i="1"/>
  <c r="Q99" i="1"/>
  <c r="R99" i="1"/>
  <c r="S99" i="1"/>
  <c r="E83" i="1"/>
  <c r="F83" i="1"/>
  <c r="G83" i="1"/>
  <c r="H83" i="1"/>
  <c r="I83" i="1"/>
  <c r="J83" i="1"/>
  <c r="K83" i="1"/>
  <c r="L83" i="1"/>
  <c r="M83" i="1"/>
  <c r="O83" i="1"/>
  <c r="P83" i="1"/>
  <c r="Q83" i="1"/>
  <c r="R83" i="1"/>
  <c r="S83" i="1"/>
  <c r="E31" i="1"/>
  <c r="F31" i="1"/>
  <c r="G31" i="1"/>
  <c r="H31" i="1"/>
  <c r="I31" i="1"/>
  <c r="J31" i="1"/>
  <c r="K31" i="1"/>
  <c r="L31" i="1"/>
  <c r="M31" i="1"/>
  <c r="O31" i="1"/>
  <c r="P31" i="1"/>
  <c r="Q31" i="1"/>
  <c r="R31" i="1"/>
  <c r="S31" i="1"/>
  <c r="E27" i="1"/>
  <c r="F27" i="1"/>
  <c r="G27" i="1"/>
  <c r="H27" i="1"/>
  <c r="I27" i="1"/>
  <c r="J27" i="1"/>
  <c r="K27" i="1"/>
  <c r="L27" i="1"/>
  <c r="M27" i="1"/>
  <c r="O27" i="1"/>
  <c r="P27" i="1"/>
  <c r="Q27" i="1"/>
  <c r="R27" i="1"/>
  <c r="S27" i="1"/>
  <c r="C20" i="1"/>
  <c r="C1282" i="1" l="1"/>
  <c r="J9" i="1"/>
  <c r="S9" i="1"/>
  <c r="H968" i="1"/>
  <c r="P9" i="1"/>
  <c r="L968" i="1"/>
  <c r="G9" i="1"/>
  <c r="F9" i="1"/>
  <c r="M968" i="1"/>
  <c r="O9" i="1"/>
  <c r="K9" i="1"/>
  <c r="I968" i="1"/>
  <c r="E968" i="1"/>
  <c r="Q1508" i="1"/>
  <c r="L1508" i="1"/>
  <c r="P968" i="1"/>
  <c r="K968" i="1"/>
  <c r="M1508" i="1"/>
  <c r="I9" i="1"/>
  <c r="P1508" i="1"/>
  <c r="K1508" i="1"/>
  <c r="R9" i="1"/>
  <c r="M9" i="1"/>
  <c r="E9" i="1"/>
  <c r="Q9" i="1"/>
  <c r="L9" i="1"/>
  <c r="H9" i="1"/>
  <c r="S968" i="1"/>
  <c r="J968" i="1"/>
  <c r="F968" i="1"/>
  <c r="S1508" i="1"/>
  <c r="O1508" i="1"/>
  <c r="F1508" i="1"/>
  <c r="C1738" i="1"/>
  <c r="C578" i="1"/>
  <c r="C1917" i="1" l="1"/>
  <c r="C1920" i="1"/>
  <c r="C1921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7" i="1"/>
  <c r="C1938" i="1"/>
  <c r="C1940" i="1"/>
  <c r="C1943" i="1"/>
  <c r="C1950" i="1"/>
  <c r="C1951" i="1"/>
  <c r="C1955" i="1"/>
  <c r="C1870" i="1"/>
  <c r="C970" i="1"/>
  <c r="C971" i="1"/>
  <c r="C1836" i="1" l="1"/>
  <c r="C1310" i="1"/>
  <c r="C1309" i="1"/>
  <c r="C549" i="1"/>
  <c r="C543" i="1"/>
  <c r="C541" i="1"/>
  <c r="C538" i="1"/>
  <c r="C535" i="1"/>
  <c r="C1247" i="1"/>
  <c r="C1248" i="1"/>
  <c r="C1249" i="1"/>
  <c r="C1253" i="1"/>
  <c r="C456" i="1"/>
  <c r="C454" i="1"/>
  <c r="C451" i="1"/>
  <c r="C450" i="1"/>
  <c r="C448" i="1"/>
  <c r="C1957" i="1"/>
  <c r="C1956" i="1"/>
  <c r="D1954" i="1"/>
  <c r="C1954" i="1" s="1"/>
  <c r="D1463" i="1"/>
  <c r="C1454" i="1"/>
  <c r="C869" i="1"/>
  <c r="C865" i="1"/>
  <c r="C864" i="1"/>
  <c r="D1949" i="1"/>
  <c r="C1949" i="1" s="1"/>
  <c r="D1948" i="1"/>
  <c r="C1948" i="1" s="1"/>
  <c r="D1947" i="1"/>
  <c r="C1947" i="1" s="1"/>
  <c r="D1946" i="1"/>
  <c r="C1946" i="1" s="1"/>
  <c r="D1945" i="1"/>
  <c r="C1945" i="1" s="1"/>
  <c r="D1944" i="1"/>
  <c r="C1944" i="1" s="1"/>
  <c r="D1942" i="1"/>
  <c r="C1942" i="1" s="1"/>
  <c r="D1941" i="1"/>
  <c r="C1941" i="1" s="1"/>
  <c r="I1939" i="1"/>
  <c r="I1952" i="1" s="1"/>
  <c r="H1939" i="1"/>
  <c r="H1952" i="1" s="1"/>
  <c r="G1939" i="1"/>
  <c r="D1939" i="1"/>
  <c r="C1939" i="1" l="1"/>
  <c r="A9" i="1"/>
  <c r="C2000" i="1" l="1"/>
  <c r="C1221" i="1" l="1"/>
  <c r="D1936" i="1" l="1"/>
  <c r="C1936" i="1" s="1"/>
  <c r="D1923" i="1"/>
  <c r="C1923" i="1" s="1"/>
  <c r="D1922" i="1"/>
  <c r="C1922" i="1" s="1"/>
  <c r="D1919" i="1"/>
  <c r="G1919" i="1"/>
  <c r="D1918" i="1"/>
  <c r="C1918" i="1" s="1"/>
  <c r="D1915" i="1"/>
  <c r="G1915" i="1"/>
  <c r="C1914" i="1"/>
  <c r="D1447" i="1"/>
  <c r="C1447" i="1" s="1"/>
  <c r="D1446" i="1"/>
  <c r="D1438" i="1"/>
  <c r="C1438" i="1" s="1"/>
  <c r="C1437" i="1"/>
  <c r="D1433" i="1"/>
  <c r="C1433" i="1" s="1"/>
  <c r="D1432" i="1"/>
  <c r="R1431" i="1"/>
  <c r="R1450" i="1" s="1"/>
  <c r="D1431" i="1"/>
  <c r="D1428" i="1"/>
  <c r="D1426" i="1"/>
  <c r="D1425" i="1"/>
  <c r="C1425" i="1" s="1"/>
  <c r="D1424" i="1"/>
  <c r="C1424" i="1" s="1"/>
  <c r="D1423" i="1"/>
  <c r="C1423" i="1" s="1"/>
  <c r="D1421" i="1"/>
  <c r="D1420" i="1"/>
  <c r="C1420" i="1" s="1"/>
  <c r="D1419" i="1"/>
  <c r="C1419" i="1" s="1"/>
  <c r="D1418" i="1"/>
  <c r="C1417" i="1"/>
  <c r="D1416" i="1"/>
  <c r="D1415" i="1"/>
  <c r="C1414" i="1"/>
  <c r="D1408" i="1"/>
  <c r="C1408" i="1" s="1"/>
  <c r="C1407" i="1"/>
  <c r="C1406" i="1"/>
  <c r="C1404" i="1"/>
  <c r="C1402" i="1"/>
  <c r="C1401" i="1"/>
  <c r="C1400" i="1"/>
  <c r="C1399" i="1"/>
  <c r="C1393" i="1"/>
  <c r="Q1391" i="1"/>
  <c r="C852" i="1"/>
  <c r="C849" i="1"/>
  <c r="C848" i="1"/>
  <c r="C846" i="1"/>
  <c r="C845" i="1"/>
  <c r="C842" i="1"/>
  <c r="C822" i="1"/>
  <c r="C816" i="1"/>
  <c r="C787" i="1"/>
  <c r="C782" i="1"/>
  <c r="C779" i="1"/>
  <c r="C1152" i="1"/>
  <c r="C1553" i="1"/>
  <c r="C1552" i="1"/>
  <c r="C1551" i="1"/>
  <c r="C738" i="1"/>
  <c r="C730" i="1"/>
  <c r="C729" i="1"/>
  <c r="C722" i="1"/>
  <c r="C714" i="1"/>
  <c r="C692" i="1"/>
  <c r="C626" i="1"/>
  <c r="C625" i="1"/>
  <c r="C618" i="1"/>
  <c r="C612" i="1"/>
  <c r="C608" i="1"/>
  <c r="C565" i="1"/>
  <c r="C1893" i="1"/>
  <c r="C1892" i="1"/>
  <c r="C1889" i="1"/>
  <c r="C1020" i="1"/>
  <c r="C1854" i="1"/>
  <c r="C1853" i="1"/>
  <c r="C1849" i="1"/>
  <c r="R1844" i="1"/>
  <c r="C1839" i="1"/>
  <c r="C1835" i="1"/>
  <c r="C1817" i="1"/>
  <c r="C558" i="1"/>
  <c r="G1384" i="1"/>
  <c r="O1383" i="1"/>
  <c r="O1387" i="1" s="1"/>
  <c r="O968" i="1" s="1"/>
  <c r="R1380" i="1"/>
  <c r="R1379" i="1"/>
  <c r="R1378" i="1"/>
  <c r="R1911" i="1" l="1"/>
  <c r="R1508" i="1" s="1"/>
  <c r="G1952" i="1"/>
  <c r="G1508" i="1" s="1"/>
  <c r="C1919" i="1"/>
  <c r="C1391" i="1"/>
  <c r="Q1450" i="1"/>
  <c r="C1431" i="1"/>
  <c r="D716" i="1"/>
  <c r="D1376" i="1"/>
  <c r="Q1376" i="1"/>
  <c r="C705" i="1"/>
  <c r="Q1372" i="1"/>
  <c r="Q1366" i="1"/>
  <c r="D687" i="1"/>
  <c r="C687" i="1" s="1"/>
  <c r="G1362" i="1"/>
  <c r="G1387" i="1" s="1"/>
  <c r="G968" i="1" s="1"/>
  <c r="D1362" i="1"/>
  <c r="C1358" i="1"/>
  <c r="C1355" i="1"/>
  <c r="C665" i="1"/>
  <c r="C1354" i="1"/>
  <c r="C1352" i="1"/>
  <c r="C1347" i="1"/>
  <c r="C647" i="1"/>
  <c r="Q1344" i="1"/>
  <c r="C1343" i="1"/>
  <c r="C1342" i="1"/>
  <c r="Q1341" i="1"/>
  <c r="C1341" i="1" s="1"/>
  <c r="C1340" i="1"/>
  <c r="C1337" i="1"/>
  <c r="R1332" i="1"/>
  <c r="Q1331" i="1"/>
  <c r="C1331" i="1" s="1"/>
  <c r="C1327" i="1"/>
  <c r="C1324" i="1"/>
  <c r="D579" i="1"/>
  <c r="Q1323" i="1"/>
  <c r="C1322" i="1"/>
  <c r="C1821" i="1"/>
  <c r="C1320" i="1"/>
  <c r="D752" i="1"/>
  <c r="H1911" i="1" l="1"/>
  <c r="H1508" i="1" s="1"/>
  <c r="J1911" i="1"/>
  <c r="J1508" i="1" s="1"/>
  <c r="I1911" i="1"/>
  <c r="I1508" i="1" s="1"/>
  <c r="Q1387" i="1"/>
  <c r="Q968" i="1" s="1"/>
  <c r="C1332" i="1"/>
  <c r="R1387" i="1"/>
  <c r="R968" i="1" s="1"/>
  <c r="C627" i="1"/>
  <c r="C1844" i="1"/>
  <c r="C1582" i="1" l="1"/>
  <c r="C1831" i="1" l="1"/>
  <c r="C1867" i="1" l="1"/>
  <c r="C1724" i="1" l="1"/>
  <c r="C1712" i="1"/>
  <c r="C1501" i="1"/>
  <c r="D1715" i="1" l="1"/>
  <c r="D1627" i="1"/>
  <c r="C1630" i="1"/>
  <c r="C1711" i="1" l="1"/>
  <c r="C1604" i="1" l="1"/>
  <c r="C1880" i="1"/>
  <c r="C1600" i="1"/>
  <c r="C1599" i="1" l="1"/>
  <c r="C1815" i="1"/>
  <c r="C1596" i="1"/>
  <c r="C1588" i="1"/>
  <c r="C1589" i="1"/>
  <c r="C1899" i="1" l="1"/>
  <c r="C1850" i="1"/>
  <c r="C1842" i="1"/>
  <c r="C1830" i="1"/>
  <c r="C1813" i="1"/>
  <c r="C1810" i="1"/>
  <c r="C712" i="1" l="1"/>
  <c r="C1856" i="1"/>
  <c r="C1902" i="1" l="1"/>
  <c r="C1888" i="1"/>
  <c r="C1909" i="1" l="1"/>
  <c r="C1906" i="1"/>
  <c r="C1886" i="1"/>
  <c r="C1883" i="1"/>
  <c r="C1878" i="1"/>
  <c r="C1894" i="1"/>
  <c r="C2025" i="1" l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D2001" i="1"/>
  <c r="C1970" i="1"/>
  <c r="C1969" i="1"/>
  <c r="C1968" i="1"/>
  <c r="C1967" i="1"/>
  <c r="C1966" i="1"/>
  <c r="C1965" i="1"/>
  <c r="C1964" i="1"/>
  <c r="D1961" i="1"/>
  <c r="C1960" i="1"/>
  <c r="C1959" i="1"/>
  <c r="C1958" i="1"/>
  <c r="C1916" i="1"/>
  <c r="C1915" i="1"/>
  <c r="C1913" i="1"/>
  <c r="C1910" i="1"/>
  <c r="C1908" i="1"/>
  <c r="C1905" i="1"/>
  <c r="C1904" i="1"/>
  <c r="C1903" i="1"/>
  <c r="C1900" i="1"/>
  <c r="C1898" i="1"/>
  <c r="C1897" i="1"/>
  <c r="C1895" i="1"/>
  <c r="C1891" i="1"/>
  <c r="C1890" i="1"/>
  <c r="C1887" i="1"/>
  <c r="C1885" i="1"/>
  <c r="C1884" i="1"/>
  <c r="C1882" i="1"/>
  <c r="C1881" i="1"/>
  <c r="C1879" i="1"/>
  <c r="C1877" i="1"/>
  <c r="C1875" i="1"/>
  <c r="C1874" i="1"/>
  <c r="C1873" i="1"/>
  <c r="C1872" i="1"/>
  <c r="C1871" i="1"/>
  <c r="C1869" i="1"/>
  <c r="C1866" i="1"/>
  <c r="C1865" i="1"/>
  <c r="C1864" i="1"/>
  <c r="C1863" i="1"/>
  <c r="C1862" i="1"/>
  <c r="C1859" i="1"/>
  <c r="C1857" i="1"/>
  <c r="C1855" i="1"/>
  <c r="C1852" i="1"/>
  <c r="C1851" i="1"/>
  <c r="C1848" i="1"/>
  <c r="C1847" i="1"/>
  <c r="C1846" i="1"/>
  <c r="C1845" i="1"/>
  <c r="C1841" i="1"/>
  <c r="C1840" i="1"/>
  <c r="C1838" i="1"/>
  <c r="D1837" i="1"/>
  <c r="C1837" i="1" s="1"/>
  <c r="C1834" i="1"/>
  <c r="C1833" i="1"/>
  <c r="C1832" i="1"/>
  <c r="C1829" i="1"/>
  <c r="C1828" i="1"/>
  <c r="C1827" i="1"/>
  <c r="C1826" i="1"/>
  <c r="C1825" i="1"/>
  <c r="C1824" i="1"/>
  <c r="C1823" i="1"/>
  <c r="C1822" i="1"/>
  <c r="C1820" i="1"/>
  <c r="C1819" i="1"/>
  <c r="C1818" i="1"/>
  <c r="E1816" i="1"/>
  <c r="D1816" i="1"/>
  <c r="C1814" i="1"/>
  <c r="C1811" i="1"/>
  <c r="C1809" i="1"/>
  <c r="C1806" i="1"/>
  <c r="C1805" i="1"/>
  <c r="C1804" i="1"/>
  <c r="D1807" i="1"/>
  <c r="C1803" i="1"/>
  <c r="C1802" i="1"/>
  <c r="C1801" i="1"/>
  <c r="C1800" i="1"/>
  <c r="C1799" i="1"/>
  <c r="C1798" i="1"/>
  <c r="D1796" i="1"/>
  <c r="C1795" i="1"/>
  <c r="C1794" i="1"/>
  <c r="C1793" i="1"/>
  <c r="C1792" i="1"/>
  <c r="C1787" i="1"/>
  <c r="C1785" i="1"/>
  <c r="C1784" i="1"/>
  <c r="C1783" i="1"/>
  <c r="C1782" i="1"/>
  <c r="E1781" i="1"/>
  <c r="E1790" i="1" s="1"/>
  <c r="C1780" i="1"/>
  <c r="C1778" i="1"/>
  <c r="C1776" i="1"/>
  <c r="C1775" i="1"/>
  <c r="C1774" i="1"/>
  <c r="C1773" i="1"/>
  <c r="C1772" i="1"/>
  <c r="D1770" i="1"/>
  <c r="C1769" i="1"/>
  <c r="C1768" i="1"/>
  <c r="C1767" i="1"/>
  <c r="C1766" i="1"/>
  <c r="C1765" i="1"/>
  <c r="A1765" i="1"/>
  <c r="A1766" i="1" s="1"/>
  <c r="A1767" i="1" s="1"/>
  <c r="A1768" i="1" s="1"/>
  <c r="A1769" i="1" s="1"/>
  <c r="C1764" i="1"/>
  <c r="C1761" i="1"/>
  <c r="C1760" i="1"/>
  <c r="C1759" i="1"/>
  <c r="C1758" i="1"/>
  <c r="C1757" i="1"/>
  <c r="C1756" i="1"/>
  <c r="C1755" i="1"/>
  <c r="C1753" i="1"/>
  <c r="C1752" i="1"/>
  <c r="C1751" i="1"/>
  <c r="C1750" i="1"/>
  <c r="D1748" i="1"/>
  <c r="C1747" i="1"/>
  <c r="C1746" i="1"/>
  <c r="C1745" i="1"/>
  <c r="C1744" i="1"/>
  <c r="C1743" i="1"/>
  <c r="C1742" i="1"/>
  <c r="C1741" i="1"/>
  <c r="C1740" i="1"/>
  <c r="C1739" i="1"/>
  <c r="C1737" i="1"/>
  <c r="C1736" i="1"/>
  <c r="C1730" i="1"/>
  <c r="C1709" i="1"/>
  <c r="C1707" i="1"/>
  <c r="C1700" i="1"/>
  <c r="C1699" i="1"/>
  <c r="C1698" i="1"/>
  <c r="C1697" i="1"/>
  <c r="C1696" i="1"/>
  <c r="C1695" i="1"/>
  <c r="C1694" i="1"/>
  <c r="C1693" i="1"/>
  <c r="C1692" i="1"/>
  <c r="C1691" i="1"/>
  <c r="C1690" i="1"/>
  <c r="C1685" i="1"/>
  <c r="C1683" i="1"/>
  <c r="C1680" i="1"/>
  <c r="C1679" i="1"/>
  <c r="C1678" i="1"/>
  <c r="C1676" i="1"/>
  <c r="E1674" i="1"/>
  <c r="C1669" i="1"/>
  <c r="C1667" i="1"/>
  <c r="C1665" i="1"/>
  <c r="C1661" i="1"/>
  <c r="C1659" i="1"/>
  <c r="C1658" i="1"/>
  <c r="C1657" i="1"/>
  <c r="C1655" i="1"/>
  <c r="C1654" i="1"/>
  <c r="C1653" i="1"/>
  <c r="C1652" i="1"/>
  <c r="C1651" i="1"/>
  <c r="C1650" i="1"/>
  <c r="C1649" i="1"/>
  <c r="C1648" i="1"/>
  <c r="C1643" i="1"/>
  <c r="C1640" i="1"/>
  <c r="C1639" i="1"/>
  <c r="C1638" i="1"/>
  <c r="C1635" i="1"/>
  <c r="C1626" i="1"/>
  <c r="C1623" i="1"/>
  <c r="C1622" i="1"/>
  <c r="D1624" i="1"/>
  <c r="C1621" i="1"/>
  <c r="C1620" i="1"/>
  <c r="C1619" i="1"/>
  <c r="C1618" i="1"/>
  <c r="C1617" i="1"/>
  <c r="C1614" i="1"/>
  <c r="C1613" i="1"/>
  <c r="C1612" i="1"/>
  <c r="C1611" i="1"/>
  <c r="C1610" i="1"/>
  <c r="C1609" i="1"/>
  <c r="C1608" i="1"/>
  <c r="C1607" i="1"/>
  <c r="C1606" i="1"/>
  <c r="C1605" i="1"/>
  <c r="C1603" i="1"/>
  <c r="C1602" i="1"/>
  <c r="C1601" i="1"/>
  <c r="C1598" i="1"/>
  <c r="C1597" i="1"/>
  <c r="C1595" i="1"/>
  <c r="C1594" i="1"/>
  <c r="D1593" i="1"/>
  <c r="C1593" i="1" s="1"/>
  <c r="C1592" i="1"/>
  <c r="C1591" i="1"/>
  <c r="E1615" i="1"/>
  <c r="C1590" i="1"/>
  <c r="C1587" i="1"/>
  <c r="C1586" i="1"/>
  <c r="C1585" i="1"/>
  <c r="C1584" i="1"/>
  <c r="C1583" i="1"/>
  <c r="C1581" i="1"/>
  <c r="C1580" i="1"/>
  <c r="C1579" i="1"/>
  <c r="C1578" i="1"/>
  <c r="C1577" i="1"/>
  <c r="C1576" i="1"/>
  <c r="C1573" i="1"/>
  <c r="C1572" i="1"/>
  <c r="D1574" i="1"/>
  <c r="C1570" i="1"/>
  <c r="D1568" i="1"/>
  <c r="C1567" i="1"/>
  <c r="C1566" i="1"/>
  <c r="C1565" i="1"/>
  <c r="C1564" i="1"/>
  <c r="C1563" i="1"/>
  <c r="C1562" i="1"/>
  <c r="C1561" i="1"/>
  <c r="C1560" i="1"/>
  <c r="C1559" i="1"/>
  <c r="C1557" i="1"/>
  <c r="C1556" i="1"/>
  <c r="D1554" i="1"/>
  <c r="C1550" i="1"/>
  <c r="A1550" i="1"/>
  <c r="C1549" i="1"/>
  <c r="D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4" i="1"/>
  <c r="C1513" i="1"/>
  <c r="C1512" i="1"/>
  <c r="A1511" i="1"/>
  <c r="A1512" i="1" s="1"/>
  <c r="A1513" i="1" s="1"/>
  <c r="A1514" i="1" s="1"/>
  <c r="C1510" i="1"/>
  <c r="A1508" i="1"/>
  <c r="D1506" i="1"/>
  <c r="C1505" i="1"/>
  <c r="C1504" i="1"/>
  <c r="C1503" i="1"/>
  <c r="C1502" i="1"/>
  <c r="C1500" i="1"/>
  <c r="C1499" i="1"/>
  <c r="C1498" i="1"/>
  <c r="C1497" i="1"/>
  <c r="C1496" i="1"/>
  <c r="C1495" i="1"/>
  <c r="C1494" i="1"/>
  <c r="C1493" i="1"/>
  <c r="C1492" i="1"/>
  <c r="C1491" i="1"/>
  <c r="C1490" i="1"/>
  <c r="A968" i="1"/>
  <c r="C1489" i="1"/>
  <c r="D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68" i="1"/>
  <c r="C1467" i="1"/>
  <c r="C1466" i="1"/>
  <c r="C1465" i="1"/>
  <c r="D1469" i="1"/>
  <c r="C1463" i="1"/>
  <c r="C1462" i="1"/>
  <c r="C1461" i="1"/>
  <c r="C1460" i="1"/>
  <c r="C1459" i="1"/>
  <c r="C1458" i="1"/>
  <c r="C1457" i="1"/>
  <c r="C1456" i="1"/>
  <c r="C1455" i="1"/>
  <c r="C1453" i="1"/>
  <c r="C1452" i="1"/>
  <c r="C1449" i="1"/>
  <c r="C1448" i="1"/>
  <c r="C1446" i="1"/>
  <c r="C1445" i="1"/>
  <c r="C1444" i="1"/>
  <c r="C1443" i="1"/>
  <c r="C1442" i="1"/>
  <c r="C1441" i="1"/>
  <c r="C1440" i="1"/>
  <c r="C1439" i="1"/>
  <c r="C1436" i="1"/>
  <c r="C1435" i="1"/>
  <c r="C1434" i="1"/>
  <c r="C1432" i="1"/>
  <c r="C1430" i="1"/>
  <c r="C1429" i="1"/>
  <c r="C1428" i="1"/>
  <c r="C1427" i="1"/>
  <c r="C1426" i="1"/>
  <c r="C1422" i="1"/>
  <c r="C1421" i="1"/>
  <c r="C1418" i="1"/>
  <c r="C1416" i="1"/>
  <c r="C1415" i="1"/>
  <c r="C1413" i="1"/>
  <c r="C1412" i="1"/>
  <c r="C1411" i="1"/>
  <c r="C1410" i="1"/>
  <c r="C1409" i="1"/>
  <c r="C1405" i="1"/>
  <c r="C1403" i="1"/>
  <c r="C1398" i="1"/>
  <c r="C1397" i="1"/>
  <c r="C1396" i="1"/>
  <c r="C1395" i="1"/>
  <c r="C1394" i="1"/>
  <c r="C1392" i="1"/>
  <c r="C1390" i="1"/>
  <c r="C1389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7" i="1"/>
  <c r="C1356" i="1"/>
  <c r="C1353" i="1"/>
  <c r="C1351" i="1"/>
  <c r="C1350" i="1"/>
  <c r="C1349" i="1"/>
  <c r="C1348" i="1"/>
  <c r="C1346" i="1"/>
  <c r="C1345" i="1"/>
  <c r="C1344" i="1"/>
  <c r="C1339" i="1"/>
  <c r="C1338" i="1"/>
  <c r="C1336" i="1"/>
  <c r="C1333" i="1"/>
  <c r="C1330" i="1"/>
  <c r="C1329" i="1"/>
  <c r="C1328" i="1"/>
  <c r="C1326" i="1"/>
  <c r="C1325" i="1"/>
  <c r="C1323" i="1"/>
  <c r="C1321" i="1"/>
  <c r="C1319" i="1"/>
  <c r="C1318" i="1"/>
  <c r="C1317" i="1"/>
  <c r="C1316" i="1"/>
  <c r="C1315" i="1"/>
  <c r="C1314" i="1"/>
  <c r="D1312" i="1"/>
  <c r="C1311" i="1"/>
  <c r="C1308" i="1"/>
  <c r="C1307" i="1"/>
  <c r="C1306" i="1"/>
  <c r="C1305" i="1"/>
  <c r="C1304" i="1"/>
  <c r="C1303" i="1"/>
  <c r="C1302" i="1"/>
  <c r="A1302" i="1"/>
  <c r="A1303" i="1" s="1"/>
  <c r="A1304" i="1" s="1"/>
  <c r="A1305" i="1" s="1"/>
  <c r="A1306" i="1" s="1"/>
  <c r="A1307" i="1" s="1"/>
  <c r="A1308" i="1" s="1"/>
  <c r="A1309" i="1" s="1"/>
  <c r="A1310" i="1" s="1"/>
  <c r="A1311" i="1" s="1"/>
  <c r="C1301" i="1"/>
  <c r="D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A1285" i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C1284" i="1"/>
  <c r="C1280" i="1"/>
  <c r="C1279" i="1"/>
  <c r="C1278" i="1"/>
  <c r="C1277" i="1"/>
  <c r="C1276" i="1"/>
  <c r="C1275" i="1"/>
  <c r="C1274" i="1"/>
  <c r="A1274" i="1"/>
  <c r="A1275" i="1" s="1"/>
  <c r="A1276" i="1" s="1"/>
  <c r="A1277" i="1" s="1"/>
  <c r="A1278" i="1" s="1"/>
  <c r="A1279" i="1" s="1"/>
  <c r="A1280" i="1" s="1"/>
  <c r="A1281" i="1" s="1"/>
  <c r="C1273" i="1"/>
  <c r="D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D1254" i="1"/>
  <c r="C1252" i="1"/>
  <c r="C1251" i="1"/>
  <c r="C1250" i="1"/>
  <c r="C1246" i="1"/>
  <c r="C1245" i="1"/>
  <c r="C1244" i="1"/>
  <c r="D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D1202" i="1"/>
  <c r="C1201" i="1"/>
  <c r="C1200" i="1"/>
  <c r="A1201" i="1"/>
  <c r="C1199" i="1"/>
  <c r="D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D1138" i="1"/>
  <c r="C1137" i="1"/>
  <c r="C1136" i="1"/>
  <c r="C1135" i="1"/>
  <c r="C1134" i="1"/>
  <c r="C1133" i="1"/>
  <c r="C1132" i="1"/>
  <c r="C1131" i="1"/>
  <c r="C1130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D1128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D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D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D1022" i="1"/>
  <c r="C1021" i="1"/>
  <c r="C1019" i="1"/>
  <c r="C1018" i="1"/>
  <c r="C1017" i="1"/>
  <c r="C1016" i="1"/>
  <c r="C1015" i="1"/>
  <c r="C1014" i="1"/>
  <c r="C1013" i="1"/>
  <c r="C1012" i="1"/>
  <c r="A1012" i="1"/>
  <c r="A1013" i="1" s="1"/>
  <c r="A1014" i="1" s="1"/>
  <c r="A1015" i="1" s="1"/>
  <c r="A1016" i="1" s="1"/>
  <c r="A1017" i="1" s="1"/>
  <c r="A1018" i="1" s="1"/>
  <c r="A1019" i="1" s="1"/>
  <c r="A1020" i="1" s="1"/>
  <c r="A1021" i="1" s="1"/>
  <c r="C1011" i="1"/>
  <c r="D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D976" i="1"/>
  <c r="C976" i="1" s="1"/>
  <c r="C975" i="1"/>
  <c r="C974" i="1"/>
  <c r="C973" i="1"/>
  <c r="C972" i="1"/>
  <c r="A971" i="1"/>
  <c r="A972" i="1" s="1"/>
  <c r="A973" i="1" s="1"/>
  <c r="A974" i="1" s="1"/>
  <c r="A975" i="1" s="1"/>
  <c r="D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D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D880" i="1"/>
  <c r="C879" i="1"/>
  <c r="C878" i="1"/>
  <c r="C877" i="1"/>
  <c r="C876" i="1"/>
  <c r="C875" i="1"/>
  <c r="C874" i="1"/>
  <c r="C873" i="1"/>
  <c r="C872" i="1"/>
  <c r="C871" i="1"/>
  <c r="C870" i="1"/>
  <c r="C868" i="1"/>
  <c r="C867" i="1"/>
  <c r="C866" i="1"/>
  <c r="C863" i="1"/>
  <c r="C862" i="1"/>
  <c r="C861" i="1"/>
  <c r="C860" i="1"/>
  <c r="C856" i="1"/>
  <c r="C855" i="1"/>
  <c r="C854" i="1"/>
  <c r="C853" i="1"/>
  <c r="C851" i="1"/>
  <c r="C850" i="1"/>
  <c r="C847" i="1"/>
  <c r="C844" i="1"/>
  <c r="C843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1" i="1"/>
  <c r="C820" i="1"/>
  <c r="C819" i="1"/>
  <c r="C818" i="1"/>
  <c r="C817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6" i="1"/>
  <c r="C785" i="1"/>
  <c r="C784" i="1"/>
  <c r="C783" i="1"/>
  <c r="C781" i="1"/>
  <c r="C780" i="1"/>
  <c r="C778" i="1"/>
  <c r="C777" i="1"/>
  <c r="C776" i="1"/>
  <c r="C775" i="1"/>
  <c r="C774" i="1"/>
  <c r="C773" i="1"/>
  <c r="C772" i="1"/>
  <c r="C771" i="1"/>
  <c r="C770" i="1"/>
  <c r="D769" i="1"/>
  <c r="D857" i="1" s="1"/>
  <c r="C768" i="1"/>
  <c r="C767" i="1"/>
  <c r="C766" i="1"/>
  <c r="C765" i="1"/>
  <c r="C764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7" i="1"/>
  <c r="C736" i="1"/>
  <c r="C735" i="1"/>
  <c r="C734" i="1"/>
  <c r="C733" i="1"/>
  <c r="C732" i="1"/>
  <c r="C731" i="1"/>
  <c r="C728" i="1"/>
  <c r="C727" i="1"/>
  <c r="C726" i="1"/>
  <c r="C725" i="1"/>
  <c r="C724" i="1"/>
  <c r="C723" i="1"/>
  <c r="C721" i="1"/>
  <c r="C720" i="1"/>
  <c r="C719" i="1"/>
  <c r="C718" i="1"/>
  <c r="C717" i="1"/>
  <c r="C716" i="1"/>
  <c r="C715" i="1"/>
  <c r="C713" i="1"/>
  <c r="C711" i="1"/>
  <c r="C710" i="1"/>
  <c r="C709" i="1"/>
  <c r="C708" i="1"/>
  <c r="C707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1" i="1"/>
  <c r="C690" i="1"/>
  <c r="C689" i="1"/>
  <c r="C688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6" i="1"/>
  <c r="C645" i="1"/>
  <c r="D644" i="1"/>
  <c r="D762" i="1" s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4" i="1"/>
  <c r="C623" i="1"/>
  <c r="C622" i="1"/>
  <c r="C621" i="1"/>
  <c r="C620" i="1"/>
  <c r="C619" i="1"/>
  <c r="C617" i="1"/>
  <c r="C616" i="1"/>
  <c r="C615" i="1"/>
  <c r="C614" i="1"/>
  <c r="C613" i="1"/>
  <c r="C611" i="1"/>
  <c r="C610" i="1"/>
  <c r="C609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4" i="1"/>
  <c r="C563" i="1"/>
  <c r="C562" i="1"/>
  <c r="C561" i="1"/>
  <c r="C560" i="1"/>
  <c r="C559" i="1"/>
  <c r="C557" i="1"/>
  <c r="C556" i="1"/>
  <c r="C555" i="1"/>
  <c r="D553" i="1"/>
  <c r="C552" i="1"/>
  <c r="C551" i="1"/>
  <c r="C550" i="1"/>
  <c r="C548" i="1"/>
  <c r="C547" i="1"/>
  <c r="C546" i="1"/>
  <c r="C545" i="1"/>
  <c r="C544" i="1"/>
  <c r="C542" i="1"/>
  <c r="C540" i="1"/>
  <c r="C539" i="1"/>
  <c r="C537" i="1"/>
  <c r="C536" i="1"/>
  <c r="C534" i="1"/>
  <c r="C533" i="1"/>
  <c r="C532" i="1"/>
  <c r="D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D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D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D458" i="1"/>
  <c r="C457" i="1"/>
  <c r="C455" i="1"/>
  <c r="C453" i="1"/>
  <c r="C452" i="1"/>
  <c r="C449" i="1"/>
  <c r="C447" i="1"/>
  <c r="D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D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D367" i="1"/>
  <c r="C367" i="1" s="1"/>
  <c r="C366" i="1"/>
  <c r="C365" i="1"/>
  <c r="C364" i="1"/>
  <c r="C363" i="1"/>
  <c r="C362" i="1"/>
  <c r="C361" i="1"/>
  <c r="D360" i="1"/>
  <c r="C360" i="1" s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D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D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D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D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D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D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D31" i="1"/>
  <c r="C30" i="1"/>
  <c r="C29" i="1"/>
  <c r="D27" i="1"/>
  <c r="C26" i="1"/>
  <c r="C25" i="1"/>
  <c r="C24" i="1"/>
  <c r="C23" i="1"/>
  <c r="C22" i="1"/>
  <c r="C21" i="1"/>
  <c r="C19" i="1"/>
  <c r="C17" i="1"/>
  <c r="C16" i="1"/>
  <c r="C15" i="1"/>
  <c r="C14" i="1"/>
  <c r="C13" i="1"/>
  <c r="C12" i="1"/>
  <c r="C11" i="1"/>
  <c r="D1911" i="1" l="1"/>
  <c r="E1911" i="1"/>
  <c r="C1674" i="1"/>
  <c r="E1733" i="1"/>
  <c r="C1663" i="1"/>
  <c r="C2001" i="1"/>
  <c r="C1668" i="1"/>
  <c r="C1681" i="1"/>
  <c r="C1710" i="1"/>
  <c r="C1714" i="1"/>
  <c r="C1716" i="1"/>
  <c r="C1718" i="1"/>
  <c r="C1720" i="1"/>
  <c r="C1722" i="1"/>
  <c r="C1726" i="1"/>
  <c r="C1728" i="1"/>
  <c r="C1786" i="1"/>
  <c r="A7" i="1"/>
  <c r="C1677" i="1"/>
  <c r="C1816" i="1"/>
  <c r="C762" i="1"/>
  <c r="C1708" i="1"/>
  <c r="C83" i="1"/>
  <c r="C1637" i="1"/>
  <c r="C27" i="1"/>
  <c r="C458" i="1"/>
  <c r="D1387" i="1"/>
  <c r="C1629" i="1"/>
  <c r="C1631" i="1"/>
  <c r="C1633" i="1"/>
  <c r="C1242" i="1"/>
  <c r="C1641" i="1"/>
  <c r="C1632" i="1"/>
  <c r="C1642" i="1"/>
  <c r="C857" i="1"/>
  <c r="C1568" i="1"/>
  <c r="C1574" i="1"/>
  <c r="C1636" i="1"/>
  <c r="C1660" i="1"/>
  <c r="C1684" i="1"/>
  <c r="C1770" i="1"/>
  <c r="C1971" i="1"/>
  <c r="C1066" i="1"/>
  <c r="C1554" i="1"/>
  <c r="C1634" i="1"/>
  <c r="C1670" i="1"/>
  <c r="C1672" i="1"/>
  <c r="C1682" i="1"/>
  <c r="C1713" i="1"/>
  <c r="C1715" i="1"/>
  <c r="C1717" i="1"/>
  <c r="C1719" i="1"/>
  <c r="C1721" i="1"/>
  <c r="C1723" i="1"/>
  <c r="C1725" i="1"/>
  <c r="C1727" i="1"/>
  <c r="C1729" i="1"/>
  <c r="C1781" i="1"/>
  <c r="C131" i="1"/>
  <c r="C147" i="1"/>
  <c r="C530" i="1"/>
  <c r="C553" i="1"/>
  <c r="C644" i="1"/>
  <c r="D1515" i="1"/>
  <c r="C1732" i="1"/>
  <c r="C1779" i="1"/>
  <c r="C1788" i="1"/>
  <c r="C1807" i="1"/>
  <c r="C99" i="1"/>
  <c r="D385" i="1"/>
  <c r="C385" i="1" s="1"/>
  <c r="C401" i="1"/>
  <c r="C507" i="1"/>
  <c r="C1052" i="1"/>
  <c r="C1128" i="1"/>
  <c r="C1624" i="1"/>
  <c r="C1701" i="1"/>
  <c r="C1703" i="1"/>
  <c r="C1705" i="1"/>
  <c r="C1748" i="1"/>
  <c r="D1952" i="1"/>
  <c r="C1952" i="1" s="1"/>
  <c r="C1961" i="1"/>
  <c r="C31" i="1"/>
  <c r="C278" i="1"/>
  <c r="C481" i="1"/>
  <c r="C931" i="1"/>
  <c r="C966" i="1"/>
  <c r="C1022" i="1"/>
  <c r="C1197" i="1"/>
  <c r="C1202" i="1"/>
  <c r="C1464" i="1"/>
  <c r="C1487" i="1"/>
  <c r="C1796" i="1"/>
  <c r="D2026" i="1"/>
  <c r="C2026" i="1" s="1"/>
  <c r="C244" i="1"/>
  <c r="C445" i="1"/>
  <c r="C769" i="1"/>
  <c r="C880" i="1"/>
  <c r="C1009" i="1"/>
  <c r="C1010" i="1" s="1"/>
  <c r="C1138" i="1"/>
  <c r="C1299" i="1"/>
  <c r="D1450" i="1"/>
  <c r="C1450" i="1" s="1"/>
  <c r="C1469" i="1"/>
  <c r="C1506" i="1"/>
  <c r="C1547" i="1"/>
  <c r="C1628" i="1"/>
  <c r="C1671" i="1"/>
  <c r="C1673" i="1"/>
  <c r="C1675" i="1"/>
  <c r="C1702" i="1"/>
  <c r="C1704" i="1"/>
  <c r="C1706" i="1"/>
  <c r="C1731" i="1"/>
  <c r="C1254" i="1"/>
  <c r="C325" i="1"/>
  <c r="C1271" i="1"/>
  <c r="C1312" i="1"/>
  <c r="C1511" i="1"/>
  <c r="C1571" i="1"/>
  <c r="D1615" i="1"/>
  <c r="C1615" i="1" s="1"/>
  <c r="C1644" i="1"/>
  <c r="C1646" i="1"/>
  <c r="C1656" i="1"/>
  <c r="C1662" i="1"/>
  <c r="C1664" i="1"/>
  <c r="C1666" i="1"/>
  <c r="C1688" i="1"/>
  <c r="C1627" i="1"/>
  <c r="D1733" i="1"/>
  <c r="C1645" i="1"/>
  <c r="C1647" i="1"/>
  <c r="C1687" i="1"/>
  <c r="C1689" i="1"/>
  <c r="D1790" i="1"/>
  <c r="C1754" i="1"/>
  <c r="C1762" i="1" s="1"/>
  <c r="C1963" i="1"/>
  <c r="D968" i="1" l="1"/>
  <c r="E1508" i="1"/>
  <c r="E7" i="1" s="1"/>
  <c r="C1515" i="1"/>
  <c r="D1508" i="1"/>
  <c r="C9" i="1"/>
  <c r="D9" i="1"/>
  <c r="C1733" i="1"/>
  <c r="S7" i="1"/>
  <c r="H7" i="1"/>
  <c r="C1790" i="1"/>
  <c r="M7" i="1"/>
  <c r="R7" i="1"/>
  <c r="L7" i="1"/>
  <c r="G7" i="1"/>
  <c r="F7" i="1"/>
  <c r="I7" i="1"/>
  <c r="P7" i="1"/>
  <c r="K7" i="1"/>
  <c r="O7" i="1"/>
  <c r="D7" i="1" l="1"/>
  <c r="C1387" i="1" l="1"/>
  <c r="C968" i="1" s="1"/>
  <c r="Q7" i="1" l="1"/>
  <c r="C1860" i="1"/>
  <c r="C1911" i="1" s="1"/>
  <c r="J7" i="1"/>
  <c r="C1508" i="1" l="1"/>
  <c r="C7" i="1" s="1"/>
</calcChain>
</file>

<file path=xl/sharedStrings.xml><?xml version="1.0" encoding="utf-8"?>
<sst xmlns="http://schemas.openxmlformats.org/spreadsheetml/2006/main" count="4292" uniqueCount="2095">
  <si>
    <t>II. Перечень работ по капитальному ремонту общего имущества в многоквартирных домах</t>
  </si>
  <si>
    <t>№ п/п</t>
  </si>
  <si>
    <t>Адрес МКД</t>
  </si>
  <si>
    <t>Стоимость капитального ремонта 
ВСЕГО</t>
  </si>
  <si>
    <t>Осуществление строительного контроля</t>
  </si>
  <si>
    <t>Разработка проектной документации</t>
  </si>
  <si>
    <t>Виды, установленные ч.1 ст.166 Жилищного Кодекса РФ</t>
  </si>
  <si>
    <t>ремонт, замена, модернизация лифтов, ремонт лифтовых шахт, машинных и блочных помещений</t>
  </si>
  <si>
    <t>ремонт крыши</t>
  </si>
  <si>
    <t>ремонт подвальных помещений</t>
  </si>
  <si>
    <t>ремонт фасада</t>
  </si>
  <si>
    <t>ремонт фасада с утеплением</t>
  </si>
  <si>
    <t>ремонт фундамента</t>
  </si>
  <si>
    <t>электроснабжение</t>
  </si>
  <si>
    <t>теплоснабжение</t>
  </si>
  <si>
    <t>горячее водоснабжение</t>
  </si>
  <si>
    <t>холодное водоснабжение</t>
  </si>
  <si>
    <t>водоотведение</t>
  </si>
  <si>
    <t>газоснабжение</t>
  </si>
  <si>
    <t>руб.</t>
  </si>
  <si>
    <t>ед.</t>
  </si>
  <si>
    <t>кв.м.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</si>
  <si>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</si>
  <si>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</si>
  <si>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</si>
  <si>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</si>
  <si>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</si>
  <si>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</si>
  <si>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</si>
  <si>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</si>
  <si>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</si>
  <si>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</si>
  <si>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</si>
  <si>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</si>
  <si>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</si>
  <si>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</si>
  <si>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</si>
  <si>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</si>
  <si>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</si>
  <si>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</si>
  <si>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</si>
  <si>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Всего по Ханты - Мансийскому автономному округу–Югре (далее–автономный округ) на 2023-2025 годы</t>
  </si>
  <si>
    <t>-</t>
  </si>
  <si>
    <t>2023 год</t>
  </si>
  <si>
    <t>Белоярский муниципальный район</t>
  </si>
  <si>
    <t>г. Белоярский, кв-л. Молодежный, д. 10</t>
  </si>
  <si>
    <t>г. Белоярский, кв-л. Молодежный, д. 4</t>
  </si>
  <si>
    <t>г. Белоярский, мкр. 1, д. 11</t>
  </si>
  <si>
    <t>г. Белоярский, мкр. 1, д. 2</t>
  </si>
  <si>
    <t>г. Белоярский, мкр. 1, д. 20</t>
  </si>
  <si>
    <t>г. Белоярский, мкр. 1, д. 24</t>
  </si>
  <si>
    <t>г. Белоярский, мкр. 1, д. 25</t>
  </si>
  <si>
    <t>г. Белоярский, мкр. 1, д. 27</t>
  </si>
  <si>
    <t>г. Белоярский, мкр. 1, д. 3</t>
  </si>
  <si>
    <t>г. Белоярский, мкр. 1, д. 5</t>
  </si>
  <si>
    <t>г. Белоярский, мкр. 1, д. 7</t>
  </si>
  <si>
    <t>г. Белоярский, мкр. 3, д. 18</t>
  </si>
  <si>
    <t>г. Белоярский, мкр. 3, д. 28А</t>
  </si>
  <si>
    <t>г. Белоярский, мкр. 3, д. 29</t>
  </si>
  <si>
    <t>г. Белоярский, мкр. 6, д. 12</t>
  </si>
  <si>
    <t>г. Белоярский, мкр. Геолог, д. 2</t>
  </si>
  <si>
    <t>Итого по Белоярскому муниципальному району на 2023 год</t>
  </si>
  <si>
    <t>Березовский муниципальный район</t>
  </si>
  <si>
    <t>пгт. Игрим, пер. Солнечный, д. 3</t>
  </si>
  <si>
    <t>пгт. Игрим, ул. Устремская, д. 13</t>
  </si>
  <si>
    <t>Итого по Березовскому муниципальному району на 2023 год</t>
  </si>
  <si>
    <t>Городской округ Когалым</t>
  </si>
  <si>
    <t>г. Когалым, ул. Бакинская, д. 11</t>
  </si>
  <si>
    <t>20</t>
  </si>
  <si>
    <t>г. Когалым, ул. Бакинская, д. 23</t>
  </si>
  <si>
    <t>21</t>
  </si>
  <si>
    <t>г. Когалым, ул. Бакинская, д. 3</t>
  </si>
  <si>
    <t>22</t>
  </si>
  <si>
    <t>г. Когалым, ул. Вильнюсская, д. 1</t>
  </si>
  <si>
    <t>23</t>
  </si>
  <si>
    <t>г. Когалым, ул. Вильнюсская, д. 13</t>
  </si>
  <si>
    <t>24</t>
  </si>
  <si>
    <t>г. Когалым, ул. Вильнюсская, д. 3</t>
  </si>
  <si>
    <t>25</t>
  </si>
  <si>
    <t>г. Когалым, ул. Вильнюсская, д. 5</t>
  </si>
  <si>
    <t>26</t>
  </si>
  <si>
    <t>г. Когалым, ул. Вильнюсская, д. 7</t>
  </si>
  <si>
    <t>27</t>
  </si>
  <si>
    <t>г. Когалым, ул. Градостроителей, д. 2</t>
  </si>
  <si>
    <t>28</t>
  </si>
  <si>
    <t>г. Когалым, ул. Градостроителей, д. 22</t>
  </si>
  <si>
    <t>29</t>
  </si>
  <si>
    <t>г. Когалым, ул. Ленинградская, д. 10</t>
  </si>
  <si>
    <t>30</t>
  </si>
  <si>
    <t>г. Когалым, ул. Ленинградская, д. 12</t>
  </si>
  <si>
    <t>31</t>
  </si>
  <si>
    <t>г. Когалым, ул. Ленинградская, д. 2</t>
  </si>
  <si>
    <t>32</t>
  </si>
  <si>
    <t>г. Когалым, ул. Ленинградская, д. 31</t>
  </si>
  <si>
    <t>33</t>
  </si>
  <si>
    <t>г. Когалым, ул. Ленинградская, д. 33</t>
  </si>
  <si>
    <t>34</t>
  </si>
  <si>
    <t>г. Когалым, ул. Ленинградская, д. 39</t>
  </si>
  <si>
    <t>35</t>
  </si>
  <si>
    <t>г. Когалым, ул. Ленинградская, д. 4</t>
  </si>
  <si>
    <t>36</t>
  </si>
  <si>
    <t>г. Когалым, ул. Ленинградская, д. 41</t>
  </si>
  <si>
    <t>37</t>
  </si>
  <si>
    <t>г. Когалым, ул. Ленинградская, д. 43</t>
  </si>
  <si>
    <t>38</t>
  </si>
  <si>
    <t>г. Когалым, ул. Ленинградская, д. 45</t>
  </si>
  <si>
    <t>39</t>
  </si>
  <si>
    <t>г. Когалым, ул. Ленинградская, д. 47</t>
  </si>
  <si>
    <t>40</t>
  </si>
  <si>
    <t>г. Когалым, ул. Ленинградская, д. 51</t>
  </si>
  <si>
    <t>41</t>
  </si>
  <si>
    <t>г. Когалым, ул. Ленинградская, д. 53</t>
  </si>
  <si>
    <t>42</t>
  </si>
  <si>
    <t>г. Когалым, ул. Ленинградская, д. 57</t>
  </si>
  <si>
    <t>43</t>
  </si>
  <si>
    <t>г. Когалым, ул. Ленинградская, д. 59</t>
  </si>
  <si>
    <t>44</t>
  </si>
  <si>
    <t>г. Когалым, ул. Ленинградская, д. 6</t>
  </si>
  <si>
    <t>45</t>
  </si>
  <si>
    <t>г. Когалым, ул. Ленинградская, д. 61</t>
  </si>
  <si>
    <t>46</t>
  </si>
  <si>
    <t>г. Когалым, ул. Ленинградская, д. 8</t>
  </si>
  <si>
    <t>47</t>
  </si>
  <si>
    <t>г. Когалым, ул. Мира, д. 32</t>
  </si>
  <si>
    <t>48</t>
  </si>
  <si>
    <t>г. Когалым, ул. Молодежная, д. 13А</t>
  </si>
  <si>
    <t>49</t>
  </si>
  <si>
    <t>г. Когалым, ул. Молодежная, д. 13Б</t>
  </si>
  <si>
    <t>50</t>
  </si>
  <si>
    <t>г. Когалым, ул. Молодежная, д. 24</t>
  </si>
  <si>
    <t>51</t>
  </si>
  <si>
    <t>г. Когалым, ул. Молодежная, д. 26</t>
  </si>
  <si>
    <t>52</t>
  </si>
  <si>
    <t>г. Когалым, ул. Молодежная, д. 30</t>
  </si>
  <si>
    <t>53</t>
  </si>
  <si>
    <t>г. Когалым, ул. Молодежная, д. 32</t>
  </si>
  <si>
    <t>54</t>
  </si>
  <si>
    <t>г. Когалым, ул. Молодежная, д. 7</t>
  </si>
  <si>
    <t>55</t>
  </si>
  <si>
    <t>г. Когалым, ул. Мостовая, д. 1</t>
  </si>
  <si>
    <t>56</t>
  </si>
  <si>
    <t>г. Когалым, ул. Прибалтийская, д. 25</t>
  </si>
  <si>
    <t>57</t>
  </si>
  <si>
    <t>г. Когалым, ул. Прибалтийская, д. 27</t>
  </si>
  <si>
    <t>58</t>
  </si>
  <si>
    <t>г. Когалым, ул. Прибалтийская, д. 29</t>
  </si>
  <si>
    <t>59</t>
  </si>
  <si>
    <t>г. Когалым, ул. Прибалтийская, д. 31</t>
  </si>
  <si>
    <t>60</t>
  </si>
  <si>
    <t>г. Когалым, ул. Прибалтийская, д. 35</t>
  </si>
  <si>
    <t>61</t>
  </si>
  <si>
    <t>г. Когалым, ул. Прибалтийская, д. 37</t>
  </si>
  <si>
    <t>62</t>
  </si>
  <si>
    <t>г. Когалым, ул. Прибалтийская, д. 39</t>
  </si>
  <si>
    <t>63</t>
  </si>
  <si>
    <t>г. Когалым, ул. Прибалтийская, д. 41</t>
  </si>
  <si>
    <t>64</t>
  </si>
  <si>
    <t>г. Когалым, ул. Прибалтийская, д. 43</t>
  </si>
  <si>
    <t>65</t>
  </si>
  <si>
    <t>г. Когалым, ул. Прибалтийская, д. 49</t>
  </si>
  <si>
    <t>66</t>
  </si>
  <si>
    <t>г. Когалым, ул. Прибалтийская, д. 51</t>
  </si>
  <si>
    <t>67</t>
  </si>
  <si>
    <t>г. Когалым, ул. Таллинская, д. 1</t>
  </si>
  <si>
    <t>68</t>
  </si>
  <si>
    <t>г. Когалым, ул. Таллинская, д. 1А</t>
  </si>
  <si>
    <t>Итого по городскому округу Когалым на 2023 год</t>
  </si>
  <si>
    <t>Кондинский муниципальный район</t>
  </si>
  <si>
    <t>69</t>
  </si>
  <si>
    <t>пгт. Междуреченский, ул. 60 лет ВЛКСМ, д. 5А</t>
  </si>
  <si>
    <t>70</t>
  </si>
  <si>
    <t>пгт. Междуреченский, ул. Гагарина, д. 11</t>
  </si>
  <si>
    <t>71</t>
  </si>
  <si>
    <t>пгт. Междуреченский, ул. Кедровая, д. 5</t>
  </si>
  <si>
    <t>72</t>
  </si>
  <si>
    <t>пгт. Междуреченский, ул. Кедровая, д. 7</t>
  </si>
  <si>
    <t>73</t>
  </si>
  <si>
    <t>пгт. Междуреченский, ул. Кедровая, д. 9</t>
  </si>
  <si>
    <t>74</t>
  </si>
  <si>
    <t>пгт. Междуреченский, ул. Кедровая, д. 24</t>
  </si>
  <si>
    <t>75</t>
  </si>
  <si>
    <t>пгт. Междуреченский, ул. Кедровая, д. 24А</t>
  </si>
  <si>
    <t>76</t>
  </si>
  <si>
    <t>пгт. Междуреченский, ул. Маяковского, д. 25</t>
  </si>
  <si>
    <t>77</t>
  </si>
  <si>
    <t>пгт. Междуреченский, ул. Молодежная, д. 12</t>
  </si>
  <si>
    <t>78</t>
  </si>
  <si>
    <t>пгт. Междуреченский, ул. Промышленная, д. 1</t>
  </si>
  <si>
    <t>79</t>
  </si>
  <si>
    <t>пгт. Мортка, пер. Молодежный, д. 7</t>
  </si>
  <si>
    <t>80</t>
  </si>
  <si>
    <t>пгт. Мортка, ул. Путейская, д. 5</t>
  </si>
  <si>
    <t>81</t>
  </si>
  <si>
    <t>д. Ушья, ул. Лесная, д. 43</t>
  </si>
  <si>
    <t>82</t>
  </si>
  <si>
    <t>д. Ушья, ул. Лесная, д. 44</t>
  </si>
  <si>
    <t>Итого по Кондинскому муниципальному району на 2023 год</t>
  </si>
  <si>
    <t>Городской округ Лангепас</t>
  </si>
  <si>
    <t>83</t>
  </si>
  <si>
    <t>г. Лангепас, ул. Комсомольская, д. 10</t>
  </si>
  <si>
    <t>84</t>
  </si>
  <si>
    <t>г. Лангепас, ул. Комсомольская, д. 2</t>
  </si>
  <si>
    <t>85</t>
  </si>
  <si>
    <t>г. Лангепас, ул. Комсомольская, д. 2Б</t>
  </si>
  <si>
    <t>86</t>
  </si>
  <si>
    <t>г. Лангепас, ул. Комсомольская, д. 6А</t>
  </si>
  <si>
    <t>87</t>
  </si>
  <si>
    <t>г. Лангепас, ул. Ленина, д. 13А</t>
  </si>
  <si>
    <t>88</t>
  </si>
  <si>
    <t>г. Лангепас, ул. Ленина, д. 21</t>
  </si>
  <si>
    <t>89</t>
  </si>
  <si>
    <t>г. Лангепас, ул. Ленина, д. 25</t>
  </si>
  <si>
    <t>90</t>
  </si>
  <si>
    <t>г. Лангепас, ул. Ленина, д. 27</t>
  </si>
  <si>
    <t>91</t>
  </si>
  <si>
    <t>г. Лангепас, ул. Ленина, д. 29</t>
  </si>
  <si>
    <t>92</t>
  </si>
  <si>
    <t>г. Лангепас, ул. Ленина, д. 30</t>
  </si>
  <si>
    <t>93</t>
  </si>
  <si>
    <t>г. Лангепас, ул. Ленина, д. 39</t>
  </si>
  <si>
    <t>94</t>
  </si>
  <si>
    <t>г. Лангепас, ул. Мира, д. 13</t>
  </si>
  <si>
    <t>95</t>
  </si>
  <si>
    <t>г. Лангепас, ул. Мира, д. 15</t>
  </si>
  <si>
    <t>96</t>
  </si>
  <si>
    <t>г. Лангепас, ул. Мира, д. 15А</t>
  </si>
  <si>
    <t>97</t>
  </si>
  <si>
    <t>г. Лангепас, ул. Мира, д. 17</t>
  </si>
  <si>
    <t>98</t>
  </si>
  <si>
    <t>г. Лангепас, ул. Мира, д. 19</t>
  </si>
  <si>
    <t>99</t>
  </si>
  <si>
    <t>г. Лангепас, ул. Мира, д. 19А</t>
  </si>
  <si>
    <t>100</t>
  </si>
  <si>
    <t>г. Лангепас, ул. Мира, д. 23</t>
  </si>
  <si>
    <t>101</t>
  </si>
  <si>
    <t>г. Лангепас, ул. Мира, д. 26</t>
  </si>
  <si>
    <t>102</t>
  </si>
  <si>
    <t>103</t>
  </si>
  <si>
    <t>г. Лангепас, ул. Солнечная, д. 10</t>
  </si>
  <si>
    <t>104</t>
  </si>
  <si>
    <t>г. Лангепас, ул. Солнечная, д. 12</t>
  </si>
  <si>
    <t>105</t>
  </si>
  <si>
    <t>г. Лангепас, ул. Солнечная, д. 12А</t>
  </si>
  <si>
    <t>106</t>
  </si>
  <si>
    <t>г. Лангепас, ул. Солнечная, д. 14</t>
  </si>
  <si>
    <t>107</t>
  </si>
  <si>
    <t>г. Лангепас, ул. Солнечная, д. 14А</t>
  </si>
  <si>
    <t>108</t>
  </si>
  <si>
    <t>г. Лангепас, ул. Солнечная, д. 16</t>
  </si>
  <si>
    <t>109</t>
  </si>
  <si>
    <t>г. Лангепас, ул. Солнечная, д. 16А</t>
  </si>
  <si>
    <t>110</t>
  </si>
  <si>
    <t>г. Лангепас, ул. Солнечная, д. 18</t>
  </si>
  <si>
    <t>111</t>
  </si>
  <si>
    <t>г. Лангепас, ул. Солнечная, д. 18А</t>
  </si>
  <si>
    <t>112</t>
  </si>
  <si>
    <t>г. Лангепас, ул. Солнечная, д. 22</t>
  </si>
  <si>
    <t>Итого по городскому округу Лангепас на 2023 год</t>
  </si>
  <si>
    <t>Городской округ Мегион</t>
  </si>
  <si>
    <t>113</t>
  </si>
  <si>
    <t>г. Мегион, ул. А.М.Кузьмина, д. 10</t>
  </si>
  <si>
    <t>114</t>
  </si>
  <si>
    <t>г. Мегион, ул. А.М.Кузьмина, д. 2</t>
  </si>
  <si>
    <t>115</t>
  </si>
  <si>
    <t>г. Мегион, ул. А.М.Кузьмина, д. 24</t>
  </si>
  <si>
    <t>116</t>
  </si>
  <si>
    <t>г. Мегион, ул. Губкина, д. 17</t>
  </si>
  <si>
    <t>117</t>
  </si>
  <si>
    <t>г. Мегион, ул. Заречная, д. 14</t>
  </si>
  <si>
    <t>118</t>
  </si>
  <si>
    <t>г. Мегион, ул. Заречная, д. 14, корп. 1</t>
  </si>
  <si>
    <t>119</t>
  </si>
  <si>
    <t>г. Мегион, ул. Заречная, д. 4</t>
  </si>
  <si>
    <t>120</t>
  </si>
  <si>
    <t>г. Мегион, ул. Нефтяников, д. 14</t>
  </si>
  <si>
    <t>121</t>
  </si>
  <si>
    <t>г. Мегион, ул. Свободы, д. 48</t>
  </si>
  <si>
    <t>122</t>
  </si>
  <si>
    <t>г. Мегион, ул. Строителей, д. 3/3</t>
  </si>
  <si>
    <t>123</t>
  </si>
  <si>
    <t>г. Мегион, ул. Строителей, д. 3, корп. 4</t>
  </si>
  <si>
    <t>124</t>
  </si>
  <si>
    <t>г. Мегион, ул. Сутормина, д. 10</t>
  </si>
  <si>
    <t>125</t>
  </si>
  <si>
    <t>пгт. Высокий, ул. Льва Толстого, д. 10</t>
  </si>
  <si>
    <t>126</t>
  </si>
  <si>
    <t>пгт. Высокий, ул. Льва Толстого, д. 2</t>
  </si>
  <si>
    <t>Итого по городскому округу Мегион на 2023 год</t>
  </si>
  <si>
    <t>Городской округ Нефтеюганск</t>
  </si>
  <si>
    <t>127</t>
  </si>
  <si>
    <t>г. Нефтеюганск, мкр. 10-й, д. 10</t>
  </si>
  <si>
    <t>128</t>
  </si>
  <si>
    <t>г. Нефтеюганск, мкр. 10-й, д. 12</t>
  </si>
  <si>
    <t>129</t>
  </si>
  <si>
    <t>г. Нефтеюганск, мкр. 10-й, д. 13</t>
  </si>
  <si>
    <t>130</t>
  </si>
  <si>
    <t>г. Нефтеюганск, мкр. 10-й, д. 2</t>
  </si>
  <si>
    <t>131</t>
  </si>
  <si>
    <t>г. Нефтеюганск, мкр. 10-й, д. 20</t>
  </si>
  <si>
    <t>132</t>
  </si>
  <si>
    <t>г. Нефтеюганск, мкр. 10-й, д. 21</t>
  </si>
  <si>
    <t>133</t>
  </si>
  <si>
    <t>г. Нефтеюганск, мкр. 10-й, д. 22</t>
  </si>
  <si>
    <t>134</t>
  </si>
  <si>
    <t>г. Нефтеюганск, мкр. 10-й, д. 23</t>
  </si>
  <si>
    <t>135</t>
  </si>
  <si>
    <t>г. Нефтеюганск, мкр. 10-й, д. 27</t>
  </si>
  <si>
    <t>136</t>
  </si>
  <si>
    <t>г. Нефтеюганск, мкр. 10-й, д. 28</t>
  </si>
  <si>
    <t>137</t>
  </si>
  <si>
    <t>г. Нефтеюганск, мкр. 10-й, д. 3</t>
  </si>
  <si>
    <t>138</t>
  </si>
  <si>
    <t>г. Нефтеюганск, мкр. 10-й, д. 4</t>
  </si>
  <si>
    <t>139</t>
  </si>
  <si>
    <t>г. Нефтеюганск, мкр. 10-й, д. 5</t>
  </si>
  <si>
    <t>140</t>
  </si>
  <si>
    <t>г. Нефтеюганск, мкр. 10-й, д. 6</t>
  </si>
  <si>
    <t>141</t>
  </si>
  <si>
    <t>г. Нефтеюганск, мкр. 10-й, д. 7</t>
  </si>
  <si>
    <t>142</t>
  </si>
  <si>
    <t>г. Нефтеюганск, мкр. 10-й, д. 8</t>
  </si>
  <si>
    <t>143</t>
  </si>
  <si>
    <t>г. Нефтеюганск, мкр. 10-й, д. 9</t>
  </si>
  <si>
    <t>144</t>
  </si>
  <si>
    <t>г. Нефтеюганск, мкр. 11А, д. 10</t>
  </si>
  <si>
    <t>145</t>
  </si>
  <si>
    <t>г. Нефтеюганск, мкр. 11А, д. 11</t>
  </si>
  <si>
    <t>146</t>
  </si>
  <si>
    <t>г. Нефтеюганск, мкр. 11А, д. 12</t>
  </si>
  <si>
    <t>147</t>
  </si>
  <si>
    <t>г. Нефтеюганск, мкр. 11А, д. 18</t>
  </si>
  <si>
    <t>148</t>
  </si>
  <si>
    <t>г. Нефтеюганск, мкр. 12-й, д. 12</t>
  </si>
  <si>
    <t>149</t>
  </si>
  <si>
    <t>г. Нефтеюганск, мкр. 12-й, д. 14</t>
  </si>
  <si>
    <t>150</t>
  </si>
  <si>
    <t>г. Нефтеюганск, мкр. 12-й, д. 16</t>
  </si>
  <si>
    <t>151</t>
  </si>
  <si>
    <t>г. Нефтеюганск, мкр. 12-й, д. 23</t>
  </si>
  <si>
    <t>152</t>
  </si>
  <si>
    <t>г. Нефтеюганск, мкр. 12-й, д. 31</t>
  </si>
  <si>
    <t>153</t>
  </si>
  <si>
    <t>г. Нефтеюганск, мкр. 12-й, д. 32</t>
  </si>
  <si>
    <t>154</t>
  </si>
  <si>
    <t>г. Нефтеюганск, мкр. 12-й, д. 5</t>
  </si>
  <si>
    <t>155</t>
  </si>
  <si>
    <t>г. Нефтеюганск, мкр. 12-й, д. 52</t>
  </si>
  <si>
    <t>156</t>
  </si>
  <si>
    <t>г. Нефтеюганск, мкр. 12-й, д. 7</t>
  </si>
  <si>
    <t>157</t>
  </si>
  <si>
    <t>г. Нефтеюганск, мкр. 12-й, д. 9</t>
  </si>
  <si>
    <t>158</t>
  </si>
  <si>
    <t>г. Нефтеюганск, мкр. 14-й, д. 45</t>
  </si>
  <si>
    <t>159</t>
  </si>
  <si>
    <t>г. Нефтеюганск, мкр. 16А, д. 66</t>
  </si>
  <si>
    <t>плоская</t>
  </si>
  <si>
    <t>160</t>
  </si>
  <si>
    <t>г. Нефтеюганск, мкр. 2-й, д. 8</t>
  </si>
  <si>
    <t>161</t>
  </si>
  <si>
    <t>г. Нефтеюганск, мкр. 3-й, д. 14</t>
  </si>
  <si>
    <t>162</t>
  </si>
  <si>
    <t>г. Нефтеюганск, мкр. 5-й, д. 12</t>
  </si>
  <si>
    <t>163</t>
  </si>
  <si>
    <t>г. Нефтеюганск, мкр. 5-й, д. 2</t>
  </si>
  <si>
    <t>164</t>
  </si>
  <si>
    <t>г. Нефтеюганск, мкр. 5-й, д. 3</t>
  </si>
  <si>
    <t>165</t>
  </si>
  <si>
    <t>г. Нефтеюганск, мкр. 5-й, д. 5</t>
  </si>
  <si>
    <t>166</t>
  </si>
  <si>
    <t>г. Нефтеюганск, мкр. 7-й, д. 1</t>
  </si>
  <si>
    <t>167</t>
  </si>
  <si>
    <t>г. Нефтеюганск, мкр. 7-й, д. 2</t>
  </si>
  <si>
    <t>168</t>
  </si>
  <si>
    <t>г. Нефтеюганск, мкр. 7-й, д. 3</t>
  </si>
  <si>
    <t>169</t>
  </si>
  <si>
    <t>г. Нефтеюганск, мкр. 7-й, д. 4</t>
  </si>
  <si>
    <t>170</t>
  </si>
  <si>
    <t>г. Нефтеюганск, мкр. 7-й, д. 5</t>
  </si>
  <si>
    <t>171</t>
  </si>
  <si>
    <t>г. Нефтеюганск, мкр. 7-й, д. 6</t>
  </si>
  <si>
    <t>172</t>
  </si>
  <si>
    <t>г. Нефтеюганск, мкр. 7-й, д. 60</t>
  </si>
  <si>
    <t>173</t>
  </si>
  <si>
    <t>г. Нефтеюганск, мкр. 8А, д. 1</t>
  </si>
  <si>
    <t>174</t>
  </si>
  <si>
    <t>г. Нефтеюганск, мкр. 8А, д. 10</t>
  </si>
  <si>
    <t>175</t>
  </si>
  <si>
    <t>г. Нефтеюганск, мкр. 8А, д. 13</t>
  </si>
  <si>
    <t>176</t>
  </si>
  <si>
    <t>г. Нефтеюганск, мкр. 8А, д. 14</t>
  </si>
  <si>
    <t>177</t>
  </si>
  <si>
    <t>г. Нефтеюганск, мкр. 8А, д. 15</t>
  </si>
  <si>
    <t>178</t>
  </si>
  <si>
    <t>г. Нефтеюганск, мкр. 8А, д. 19</t>
  </si>
  <si>
    <t>179</t>
  </si>
  <si>
    <t>г. Нефтеюганск, мкр. 8А, д. 2</t>
  </si>
  <si>
    <t>180</t>
  </si>
  <si>
    <t>г. Нефтеюганск, мкр. 8А, д. 20</t>
  </si>
  <si>
    <t>181</t>
  </si>
  <si>
    <t>г. Нефтеюганск, мкр. 8А, д. 21</t>
  </si>
  <si>
    <t>182</t>
  </si>
  <si>
    <t>г. Нефтеюганск, мкр. 8А, д. 22</t>
  </si>
  <si>
    <t>183</t>
  </si>
  <si>
    <t>г. Нефтеюганск, мкр. 8А, д. 26</t>
  </si>
  <si>
    <t>184</t>
  </si>
  <si>
    <t>г. Нефтеюганск, мкр. 8А, д. 27</t>
  </si>
  <si>
    <t>185</t>
  </si>
  <si>
    <t>г. Нефтеюганск, мкр. 8А, д. 28</t>
  </si>
  <si>
    <t>186</t>
  </si>
  <si>
    <t>г. Нефтеюганск, мкр. 8А, д. 3</t>
  </si>
  <si>
    <t>187</t>
  </si>
  <si>
    <t>г. Нефтеюганск, мкр. 8А, д. 30</t>
  </si>
  <si>
    <t>188</t>
  </si>
  <si>
    <t>г. Нефтеюганск, мкр. 8А, д. 31</t>
  </si>
  <si>
    <t>189</t>
  </si>
  <si>
    <t>г. Нефтеюганск, мкр. 8А, д. 33</t>
  </si>
  <si>
    <t>190</t>
  </si>
  <si>
    <t>г. Нефтеюганск, мкр. 8А, д. 35</t>
  </si>
  <si>
    <t>191</t>
  </si>
  <si>
    <t>г. Нефтеюганск, мкр. 8А, д. 36</t>
  </si>
  <si>
    <t>192</t>
  </si>
  <si>
    <t>г. Нефтеюганск, мкр. 8А, д. 37</t>
  </si>
  <si>
    <t>193</t>
  </si>
  <si>
    <t>г. Нефтеюганск, мкр. 8А, д. 4</t>
  </si>
  <si>
    <t>194</t>
  </si>
  <si>
    <t>г. Нефтеюганск, мкр. 8А, д. 42</t>
  </si>
  <si>
    <t>195</t>
  </si>
  <si>
    <t>г. Нефтеюганск, мкр. 8А, д. 43</t>
  </si>
  <si>
    <t>196</t>
  </si>
  <si>
    <t>г. Нефтеюганск, мкр. 8А, д. 47</t>
  </si>
  <si>
    <t>197</t>
  </si>
  <si>
    <t>г. Нефтеюганск, мкр. 8А, д. 5</t>
  </si>
  <si>
    <t>198</t>
  </si>
  <si>
    <t>г. Нефтеюганск, мкр. 8А, д. 7</t>
  </si>
  <si>
    <t>199</t>
  </si>
  <si>
    <t>г. Нефтеюганск, мкр. 8А, д. 8</t>
  </si>
  <si>
    <t>200</t>
  </si>
  <si>
    <t>г. Нефтеюганск, мкр. 8А, д. 9</t>
  </si>
  <si>
    <t>201</t>
  </si>
  <si>
    <t>г. Нефтеюганск, мкр. 8-й, д. 1</t>
  </si>
  <si>
    <t>202</t>
  </si>
  <si>
    <t>г. Нефтеюганск, мкр. 8-й, д. 10</t>
  </si>
  <si>
    <t>203</t>
  </si>
  <si>
    <t>г. Нефтеюганск, мкр. 8-й, д. 15</t>
  </si>
  <si>
    <t>204</t>
  </si>
  <si>
    <t>г. Нефтеюганск, мкр. 8-й, д. 19</t>
  </si>
  <si>
    <t>205</t>
  </si>
  <si>
    <t>г. Нефтеюганск, мкр. 8-й, д. 2</t>
  </si>
  <si>
    <t>206</t>
  </si>
  <si>
    <t>г. Нефтеюганск, мкр. 8-й, д. 3</t>
  </si>
  <si>
    <t>207</t>
  </si>
  <si>
    <t>г. Нефтеюганск, мкр. 8-й, д. 7</t>
  </si>
  <si>
    <t>208</t>
  </si>
  <si>
    <t>г. Нефтеюганск, мкр. 9А, д. 33</t>
  </si>
  <si>
    <t>209</t>
  </si>
  <si>
    <t>г. Нефтеюганск, мкр. 9-й, д. 1</t>
  </si>
  <si>
    <t>210</t>
  </si>
  <si>
    <t>г. Нефтеюганск, мкр. 9-й, д. 10</t>
  </si>
  <si>
    <t>211</t>
  </si>
  <si>
    <t>г. Нефтеюганск, мкр. 9-й, д. 12</t>
  </si>
  <si>
    <t>212</t>
  </si>
  <si>
    <t>г. Нефтеюганск, мкр. 9-й, д. 13</t>
  </si>
  <si>
    <t>213</t>
  </si>
  <si>
    <t>г. Нефтеюганск, мкр. 9-й, д. 14</t>
  </si>
  <si>
    <t>214</t>
  </si>
  <si>
    <t>г. Нефтеюганск, мкр. 9-й, д. 15</t>
  </si>
  <si>
    <t>215</t>
  </si>
  <si>
    <t>г. Нефтеюганск, мкр. 9-й, д. 16</t>
  </si>
  <si>
    <t>216</t>
  </si>
  <si>
    <t>г. Нефтеюганск, мкр. 9-й, д. 17</t>
  </si>
  <si>
    <t>217</t>
  </si>
  <si>
    <t>г. Нефтеюганск, мкр. 9-й, д. 18</t>
  </si>
  <si>
    <t>218</t>
  </si>
  <si>
    <t>г. Нефтеюганск, мкр. 9-й, д. 21</t>
  </si>
  <si>
    <t>219</t>
  </si>
  <si>
    <t>г. Нефтеюганск, мкр. 9-й, д. 22</t>
  </si>
  <si>
    <t>220</t>
  </si>
  <si>
    <t>г. Нефтеюганск, мкр. 9-й, д. 5</t>
  </si>
  <si>
    <t>221</t>
  </si>
  <si>
    <t>Итого по городскому округу Нефтеюганск на 2023 год</t>
  </si>
  <si>
    <t>Нефтеюганский муниципальный район</t>
  </si>
  <si>
    <t>222</t>
  </si>
  <si>
    <t>п. Каркатеевы, ул. Центральная, д. 35</t>
  </si>
  <si>
    <t>223</t>
  </si>
  <si>
    <t>п. Куть-Ях, д. 9</t>
  </si>
  <si>
    <t>224</t>
  </si>
  <si>
    <t>п. Салым, ул. 45 лет Победы, д. 12</t>
  </si>
  <si>
    <t>225</t>
  </si>
  <si>
    <t>п. Салым, ул. Северная, д. 16</t>
  </si>
  <si>
    <t>226</t>
  </si>
  <si>
    <t>п. Салым, ул. Северная, д. 17</t>
  </si>
  <si>
    <t>227</t>
  </si>
  <si>
    <t>п. Салым, ул. Северная, д. 18</t>
  </si>
  <si>
    <t>228</t>
  </si>
  <si>
    <t>п. Сентябрьский, д. 12Б</t>
  </si>
  <si>
    <t>229</t>
  </si>
  <si>
    <t>п. Сентябрьский, д. 18</t>
  </si>
  <si>
    <t>230</t>
  </si>
  <si>
    <t>п. Сентябрьский, д. 20</t>
  </si>
  <si>
    <t>231</t>
  </si>
  <si>
    <t>п. Сивыс-Ях, ул. Нефтяников, д. 14</t>
  </si>
  <si>
    <t>232</t>
  </si>
  <si>
    <t>п. Сингапай, ул. Круг Б-3, д. 36</t>
  </si>
  <si>
    <t>233</t>
  </si>
  <si>
    <t>п. Сингапай, ул. Круг Б-3, д. 37</t>
  </si>
  <si>
    <t>234</t>
  </si>
  <si>
    <t>п. Сингапай, ул. Круг В-1, д. 55</t>
  </si>
  <si>
    <t>235</t>
  </si>
  <si>
    <t>пгт. Пойковский, мкр. 1-й, д. 63</t>
  </si>
  <si>
    <t>скатная</t>
  </si>
  <si>
    <t>236</t>
  </si>
  <si>
    <t>пгт. Пойковский, мкр. 1-й, д. 79</t>
  </si>
  <si>
    <t>237</t>
  </si>
  <si>
    <t>пгт. Пойковский, мкр. 2-й, д. 8</t>
  </si>
  <si>
    <t>238</t>
  </si>
  <si>
    <t>пгт. Пойковский, мкр. 3-й, д. 120</t>
  </si>
  <si>
    <t>239</t>
  </si>
  <si>
    <t>пгт. Пойковский, мкр. 3-й, д. 50</t>
  </si>
  <si>
    <t>240</t>
  </si>
  <si>
    <t>пгт. Пойковский, мкр. 3-й, д. 58</t>
  </si>
  <si>
    <t>241</t>
  </si>
  <si>
    <t>пгт. Пойковский, мкр. 3-й, д. 68А</t>
  </si>
  <si>
    <t>242</t>
  </si>
  <si>
    <t>пгт. Пойковский, мкр. 3-й, д. 9</t>
  </si>
  <si>
    <t>243</t>
  </si>
  <si>
    <t>пгт. Пойковский, мкр. 4-й, д. 1</t>
  </si>
  <si>
    <t>244</t>
  </si>
  <si>
    <t>пгт. Пойковский, мкр. 4-й, д. 18</t>
  </si>
  <si>
    <t>245</t>
  </si>
  <si>
    <t>пгт. Пойковский, мкр. 4-й, д. 2</t>
  </si>
  <si>
    <t>246</t>
  </si>
  <si>
    <t>пгт. Пойковский, мкр. 4-й, д. 3</t>
  </si>
  <si>
    <t>247</t>
  </si>
  <si>
    <t>пгт. Пойковский, мкр. 4-й, д. 6</t>
  </si>
  <si>
    <t>248</t>
  </si>
  <si>
    <t>пгт. Пойковский, мкр. 6-й, д. 102</t>
  </si>
  <si>
    <t>249</t>
  </si>
  <si>
    <t>пгт. Пойковский, мкр. 7-й, д. 12/13</t>
  </si>
  <si>
    <t>250</t>
  </si>
  <si>
    <t>пгт. Пойковский, мкр. 7-й, д. 21/22</t>
  </si>
  <si>
    <t>251</t>
  </si>
  <si>
    <t>пгт. Пойковский, мкр. 7-й, д. 3</t>
  </si>
  <si>
    <t>252</t>
  </si>
  <si>
    <t>пгт. Пойковский, мкр. 7-й, д. 34/35</t>
  </si>
  <si>
    <t>253</t>
  </si>
  <si>
    <t>пгт. Пойковский, мкр. Дорожник, д. 7</t>
  </si>
  <si>
    <t>Итого по Нефтеюганскому муниципальному району на 2023 год</t>
  </si>
  <si>
    <t>Городской округ Нижневартовск</t>
  </si>
  <si>
    <t>254</t>
  </si>
  <si>
    <t>г. Нижневартовск, б-р. Комсомольский, д. 2</t>
  </si>
  <si>
    <t>255</t>
  </si>
  <si>
    <t>г. Нижневартовск, б-р. Комсомольский, д. 4</t>
  </si>
  <si>
    <t>Плоская</t>
  </si>
  <si>
    <t>256</t>
  </si>
  <si>
    <t>г. Нижневартовск, пр-кт. Победы, д. 18</t>
  </si>
  <si>
    <t>257</t>
  </si>
  <si>
    <t>г. Нижневартовск, пр-кт. Победы, д. 26</t>
  </si>
  <si>
    <t>258</t>
  </si>
  <si>
    <t>г. Нижневартоск, проезд Заозёрный, д. 12*</t>
  </si>
  <si>
    <t>259</t>
  </si>
  <si>
    <t>г. Нижневартовск, ул. 60 лет Октября, д. 49</t>
  </si>
  <si>
    <t>260</t>
  </si>
  <si>
    <t>г. Нижневартовск, ул. 60 лет Октября, д. 5</t>
  </si>
  <si>
    <t>261</t>
  </si>
  <si>
    <t>г. Нижневартовск, ул. 60 лет Октября, д. 51</t>
  </si>
  <si>
    <t>262</t>
  </si>
  <si>
    <t>г. Нижневартовск, ул. Гагарина, д. 10</t>
  </si>
  <si>
    <t>263</t>
  </si>
  <si>
    <t>г. Нижневартовск, ул. Гагарина, д. 12</t>
  </si>
  <si>
    <t>264</t>
  </si>
  <si>
    <t>г. Нижневартовск, ул. Гагарина, д. 3</t>
  </si>
  <si>
    <t>265</t>
  </si>
  <si>
    <t>г. Нижневартовск, ул. Гагарина, д. 5</t>
  </si>
  <si>
    <t>266</t>
  </si>
  <si>
    <t>г. Нижневартовск, ул. Дзержинского, д. 19А</t>
  </si>
  <si>
    <t>267</t>
  </si>
  <si>
    <t>г. Нижневартовск, ул. Дружбы Народов, д. 13</t>
  </si>
  <si>
    <t>268</t>
  </si>
  <si>
    <t>г. Нижневартовск, ул. Дружбы Народов, д. 15</t>
  </si>
  <si>
    <t>269</t>
  </si>
  <si>
    <t>г. Нижневартовск, ул. Дружбы Народов, д. 15А</t>
  </si>
  <si>
    <t>270</t>
  </si>
  <si>
    <t>г. Нижневартовск, ул. Дружбы Народов, д. 17</t>
  </si>
  <si>
    <t>271</t>
  </si>
  <si>
    <t>г. Нижневартовск, ул. Дружбы Народов, д. 20</t>
  </si>
  <si>
    <t>272</t>
  </si>
  <si>
    <t>г. Нижневартовск, ул. Дружбы Народов, д. 20А</t>
  </si>
  <si>
    <t>273</t>
  </si>
  <si>
    <t>г. Нижневартовск, ул. Дружбы Народов, д. 26</t>
  </si>
  <si>
    <t>274</t>
  </si>
  <si>
    <t>г. Нижневартовск, ул. Дружбы Народов, д. 27</t>
  </si>
  <si>
    <t>275</t>
  </si>
  <si>
    <t>г. Нижневартовск, ул. Дружбы Народов, д. 28А</t>
  </si>
  <si>
    <t>276</t>
  </si>
  <si>
    <t>г. Нижневартовск, ул. Дружбы Народов, д. 30Б</t>
  </si>
  <si>
    <t>277</t>
  </si>
  <si>
    <t>г. Нижневартовск, ул. Дружбы Народов, д. 34</t>
  </si>
  <si>
    <t>278</t>
  </si>
  <si>
    <t>г. Нижневартовск, ул. Дружбы Народов, д. 34А</t>
  </si>
  <si>
    <t>279</t>
  </si>
  <si>
    <t>г. Нижневартовск, ул. Дружбы Народов, д. 7</t>
  </si>
  <si>
    <t>280</t>
  </si>
  <si>
    <t>г. Нижневартовск, ул. Интернациональная, д. 14А</t>
  </si>
  <si>
    <t>281</t>
  </si>
  <si>
    <t>г. Нижневартовск, ул. Интернациональная, д. 26</t>
  </si>
  <si>
    <t>282</t>
  </si>
  <si>
    <t>г. Нижневартовск, ул. Интернациональная, д. 6</t>
  </si>
  <si>
    <t>283</t>
  </si>
  <si>
    <t>г. Нижневартовск, ул. Ленина, д. 21</t>
  </si>
  <si>
    <t>284</t>
  </si>
  <si>
    <t>г. Нижневартовск, ул. Ленина, д. 25Б</t>
  </si>
  <si>
    <t>285</t>
  </si>
  <si>
    <t>г. Нижневартовск, ул. Ленина, д. 29А</t>
  </si>
  <si>
    <t>286</t>
  </si>
  <si>
    <t>г. Нижневартовск, ул. Ленина, д. 34</t>
  </si>
  <si>
    <t>287</t>
  </si>
  <si>
    <t>г. Нижневартовск, ул. Ленина, д. 7, корп. 1</t>
  </si>
  <si>
    <t>288</t>
  </si>
  <si>
    <t>г. Нижневартовск, ул. Ленина, д. 9, корп. 3</t>
  </si>
  <si>
    <t>289</t>
  </si>
  <si>
    <t>г. Нижневартовск, ул. Маршала Жукова, д. 16</t>
  </si>
  <si>
    <t>290</t>
  </si>
  <si>
    <t>г. Нижневартовск, ул. Маршала Жукова, д. 18</t>
  </si>
  <si>
    <t>291</t>
  </si>
  <si>
    <t>г. Нижневартовск, ул. Маршала Жукова, д. 20</t>
  </si>
  <si>
    <t>292</t>
  </si>
  <si>
    <t>г. Нижневартовск, ул. Маршала Жукова, д. 22</t>
  </si>
  <si>
    <t>293</t>
  </si>
  <si>
    <t>г. Нижневартовск, ул. Маршала Жукова, д. 24</t>
  </si>
  <si>
    <t>294</t>
  </si>
  <si>
    <t>г. Нижневартовск, ул. Маршала Жукова, д. 28</t>
  </si>
  <si>
    <t>295</t>
  </si>
  <si>
    <t xml:space="preserve">г. Нижневартовск, ул. Маршала Жукова, д. 2Б </t>
  </si>
  <si>
    <t>296</t>
  </si>
  <si>
    <t>г. Нижневартовск, ул. Маршала Жукова, д. 30</t>
  </si>
  <si>
    <t>297</t>
  </si>
  <si>
    <t>г. Нижневартовск, ул. Маршала Жукова, д. 32</t>
  </si>
  <si>
    <t>298</t>
  </si>
  <si>
    <t>г. Нижневартовск, ул. Маршала Жукова, д. 36</t>
  </si>
  <si>
    <t>299</t>
  </si>
  <si>
    <t>г. Нижневартовск, ул. Менделеева, д. 28</t>
  </si>
  <si>
    <t>300</t>
  </si>
  <si>
    <t>г. Нижневартовск, ул. Мира, д. 13</t>
  </si>
  <si>
    <t>301</t>
  </si>
  <si>
    <t>г. Нижневартовск, ул. Мира, д. 15</t>
  </si>
  <si>
    <t>302</t>
  </si>
  <si>
    <t>г. Нижневартовск, ул. Мира, д. 16</t>
  </si>
  <si>
    <t>303</t>
  </si>
  <si>
    <t>г. Нижневартовск, ул. Мира, д. 28</t>
  </si>
  <si>
    <t>304</t>
  </si>
  <si>
    <t>г. Нижневартовск, ул. Мира, д. 36</t>
  </si>
  <si>
    <t>305</t>
  </si>
  <si>
    <t>г. Нижневартовск, ул. Мира, д. 38</t>
  </si>
  <si>
    <t>306</t>
  </si>
  <si>
    <t>г. Нижневартовск, ул. Мира, д. 38А</t>
  </si>
  <si>
    <t>307</t>
  </si>
  <si>
    <t>г. Нижневартовск, ул. Мира, д. 58А</t>
  </si>
  <si>
    <t>308</t>
  </si>
  <si>
    <t>г. Нижневартовск, ул. Мира, д. 60, корп. 1</t>
  </si>
  <si>
    <t>309</t>
  </si>
  <si>
    <t>г. Нижневартовск, ул. Мира, д. 60, корп. 2</t>
  </si>
  <si>
    <t>310</t>
  </si>
  <si>
    <t>г. Нижневартовск, ул. Мира, д. 60, корп. 3</t>
  </si>
  <si>
    <t>311</t>
  </si>
  <si>
    <t>г. Нижневартовск, ул. Мира, д. 60, корп. 4</t>
  </si>
  <si>
    <t>312</t>
  </si>
  <si>
    <t>г. Нижневартовск, ул. Мира, д. 60, корп. 6</t>
  </si>
  <si>
    <t>313</t>
  </si>
  <si>
    <t>г. Нижневартовск, ул. Мира, д. 66А</t>
  </si>
  <si>
    <t>314</t>
  </si>
  <si>
    <t>г. Нижневартовск, ул. Мира, д. 7</t>
  </si>
  <si>
    <t>315</t>
  </si>
  <si>
    <t>г. Нижневартовск, ул. Мира, д. 74А</t>
  </si>
  <si>
    <t>316</t>
  </si>
  <si>
    <t>г. Нижневартовск, ул. Мира, д. 76А</t>
  </si>
  <si>
    <t>317</t>
  </si>
  <si>
    <t>г. Нижневартовск, ул. Нефтяников, д. 2</t>
  </si>
  <si>
    <t>318</t>
  </si>
  <si>
    <t>г. Нижневартовск, ул. Нефтяников, д. 4</t>
  </si>
  <si>
    <t>319</t>
  </si>
  <si>
    <t>г. Нижневартовск, ул. Нефтяников, д. 76А</t>
  </si>
  <si>
    <t>320</t>
  </si>
  <si>
    <t>г. Нижневартовск, ул. Омская, д. 54</t>
  </si>
  <si>
    <t>321</t>
  </si>
  <si>
    <t>г. Нижневартовск, ул. Омская, д. 62</t>
  </si>
  <si>
    <t>322</t>
  </si>
  <si>
    <t>г. Нижневартовск, ул. Омская, д. 64</t>
  </si>
  <si>
    <t>323</t>
  </si>
  <si>
    <t>г. Нижневартовск, ул. Омская, д. 66</t>
  </si>
  <si>
    <t>324</t>
  </si>
  <si>
    <t>г. Нижневартовск, ул. Омская, д. 68</t>
  </si>
  <si>
    <t>325</t>
  </si>
  <si>
    <t>г. Нижневартовск, ул. Пермская, д. 12</t>
  </si>
  <si>
    <t>326</t>
  </si>
  <si>
    <t>г. Нижневартовск, ул. Пермская, д. 16</t>
  </si>
  <si>
    <t>327</t>
  </si>
  <si>
    <t>г. Нижневартовск, ул. Пермская, д. 16А</t>
  </si>
  <si>
    <t>328</t>
  </si>
  <si>
    <t>г. Нижневартовск, ул. Пермская, д. 16Б</t>
  </si>
  <si>
    <t>329</t>
  </si>
  <si>
    <t>г. Нижневартовск, ул. Северная, д. 11, корп. 1</t>
  </si>
  <si>
    <t>330</t>
  </si>
  <si>
    <t>г. Нижневартовск, ул. Северная, д. 14</t>
  </si>
  <si>
    <t>331</t>
  </si>
  <si>
    <t>г. Нижневартовск, ул. Северная, д. 18</t>
  </si>
  <si>
    <t>332</t>
  </si>
  <si>
    <t>г. Нижневартовск, ул. Северная, д. 20</t>
  </si>
  <si>
    <t>333</t>
  </si>
  <si>
    <t>г. Нижневартовск, ул. Северная, д. 24</t>
  </si>
  <si>
    <t>334</t>
  </si>
  <si>
    <t>г. Нижневартовск, ул. Северная, д. 28А*</t>
  </si>
  <si>
    <t>335</t>
  </si>
  <si>
    <t>г. Нижневартовск, ул. Северная, д. 4</t>
  </si>
  <si>
    <t>336</t>
  </si>
  <si>
    <t>г. Нижневартовск,  ул. Северная, д. 76</t>
  </si>
  <si>
    <t>337</t>
  </si>
  <si>
    <t>г. Нижневартовск, ул. Северная, д. 76А</t>
  </si>
  <si>
    <t>338</t>
  </si>
  <si>
    <t>г. Нижневартовск, ул. Северная, д. 78</t>
  </si>
  <si>
    <t>339</t>
  </si>
  <si>
    <t>г. Нижневартовск,  ул. Северная, д. 8</t>
  </si>
  <si>
    <t>340</t>
  </si>
  <si>
    <t>г. Нижневартовск, ул. Спортивная, д. 17А</t>
  </si>
  <si>
    <t>341</t>
  </si>
  <si>
    <t>г. Нижневартовск, ул. Спортивная, д. 1А</t>
  </si>
  <si>
    <t>342</t>
  </si>
  <si>
    <t>г. Нижневартовск, ул. Спортивная, д. 9</t>
  </si>
  <si>
    <t>343</t>
  </si>
  <si>
    <t>г. Нижневартовск, ул. Ханты-Мансийская, д. 25</t>
  </si>
  <si>
    <t>344</t>
  </si>
  <si>
    <t>г. Нижневартовск, ул. Ханты-Мансийская, д. 39А</t>
  </si>
  <si>
    <t>345</t>
  </si>
  <si>
    <t>г. Нижневартовск, ул. Ханты-Мансийская, д. 43А</t>
  </si>
  <si>
    <t>346</t>
  </si>
  <si>
    <t>г. Нижневартовск, ул. Ханты-Мансийская, д. 45</t>
  </si>
  <si>
    <t>347</t>
  </si>
  <si>
    <t>г. Нижневартовск, ул. Ханты-Мансийская, д. 45Б</t>
  </si>
  <si>
    <t>348</t>
  </si>
  <si>
    <t>г. Нижневартовск, ул. Чапаева, д. 11</t>
  </si>
  <si>
    <t>349</t>
  </si>
  <si>
    <t>г. Нижневартовск, ул. Чапаева, д. 13</t>
  </si>
  <si>
    <t>350</t>
  </si>
  <si>
    <t>г. Нижневартовск, ул. Чапаева, д. 13, корп. 1</t>
  </si>
  <si>
    <t>351</t>
  </si>
  <si>
    <t>г. Нижневартовск, ул. Чапаева, д. 13, корп. 2</t>
  </si>
  <si>
    <t>352</t>
  </si>
  <si>
    <t>г. Нижневартовск, ул. Чапаева, д. 49Б</t>
  </si>
  <si>
    <t>353</t>
  </si>
  <si>
    <t>г. Нижневартовск, ул. Чапаева, д. 79А</t>
  </si>
  <si>
    <t>354</t>
  </si>
  <si>
    <t>г. Нижневартовск, ул. Чапаева, д. 83</t>
  </si>
  <si>
    <t>355</t>
  </si>
  <si>
    <t>г. Нижневартовск, ул. Чапаева, д. 9</t>
  </si>
  <si>
    <t>356</t>
  </si>
  <si>
    <t>г. Нижневартовск, ул. Чапаева, д. 9А</t>
  </si>
  <si>
    <t>357</t>
  </si>
  <si>
    <t>г. Нижневартовск, ул. Чапаева, д. 9Б</t>
  </si>
  <si>
    <t>358</t>
  </si>
  <si>
    <t>п. Магистраль, д. 31</t>
  </si>
  <si>
    <t>Итого по городскому округу Нижневартовск на 2023 год</t>
  </si>
  <si>
    <t>Нижневартовский муниципальный район</t>
  </si>
  <si>
    <t>359</t>
  </si>
  <si>
    <t>пгт. Излучинск, пер. Строителей, д. 2</t>
  </si>
  <si>
    <t>360</t>
  </si>
  <si>
    <t>пгт. Излучинск, пер. Строителей, д. 4</t>
  </si>
  <si>
    <t>361</t>
  </si>
  <si>
    <t>пгт. Излучинск, пер. Строителей, д. 6</t>
  </si>
  <si>
    <t>362</t>
  </si>
  <si>
    <t>пгт. Излучинск, ул. Набережная, д. 10</t>
  </si>
  <si>
    <t>363</t>
  </si>
  <si>
    <t>пгт. Излучинск, ул. Набережная, д. 2</t>
  </si>
  <si>
    <t>364</t>
  </si>
  <si>
    <t>пгт. Излучинск, ул. Набережная, д. 8</t>
  </si>
  <si>
    <t>365</t>
  </si>
  <si>
    <t>пгт. Излучинск, ул. Пионерная, д. 1</t>
  </si>
  <si>
    <t>366</t>
  </si>
  <si>
    <t>пгт. Излучинск, ул. Пионерная, д. 3</t>
  </si>
  <si>
    <t>367</t>
  </si>
  <si>
    <t>пгт. Излучинск, ул. Пионерная, д. 5</t>
  </si>
  <si>
    <t>368</t>
  </si>
  <si>
    <t>пгт. Излучинск, ул. Таежная, д. 1</t>
  </si>
  <si>
    <t>369</t>
  </si>
  <si>
    <t>пгт. Излучинск, ул. Школьная, д. 16</t>
  </si>
  <si>
    <t>370</t>
  </si>
  <si>
    <t>пгт. Излучинск, ул. Школьная, д. 2</t>
  </si>
  <si>
    <t>371</t>
  </si>
  <si>
    <t>пгт. Излучинск, ул. Энергетиков, д. 17</t>
  </si>
  <si>
    <t>372</t>
  </si>
  <si>
    <t>пгт. Излучинск, ул. Энергетиков, д. 5</t>
  </si>
  <si>
    <t>Итого по Нижневартовскому муниципальному району на 2023 год</t>
  </si>
  <si>
    <t>Городской округ Нягань</t>
  </si>
  <si>
    <t>373</t>
  </si>
  <si>
    <t>г. Нягань, мкр. 1-й, д. 26</t>
  </si>
  <si>
    <t>374</t>
  </si>
  <si>
    <t>г. Нягань, мкр. 1-й, д. 27</t>
  </si>
  <si>
    <t>375</t>
  </si>
  <si>
    <t>г. Нягань, мкр. 1-й, д. 28</t>
  </si>
  <si>
    <t>376</t>
  </si>
  <si>
    <t>г. Нягань, мкр. 1-й, д. 29А</t>
  </si>
  <si>
    <t>377</t>
  </si>
  <si>
    <t>г. Нягань, мкр. 1-й, д. 29Б</t>
  </si>
  <si>
    <t>378</t>
  </si>
  <si>
    <t>г. Нягань, мкр. 1-й, д. 33</t>
  </si>
  <si>
    <t>379</t>
  </si>
  <si>
    <t>г. Нягань, мкр. 1-й, д. 44</t>
  </si>
  <si>
    <t>380</t>
  </si>
  <si>
    <t>г. Нягань, мкр. 1-й, д. 47</t>
  </si>
  <si>
    <t>381</t>
  </si>
  <si>
    <t>г. Нягань, мкр. 2-й, д. 12</t>
  </si>
  <si>
    <t>382</t>
  </si>
  <si>
    <t>г. Нягань, мкр. 2-й, д. 13</t>
  </si>
  <si>
    <t>383</t>
  </si>
  <si>
    <t>г. Нягань, мкр. 2-й, д. 14</t>
  </si>
  <si>
    <t>384</t>
  </si>
  <si>
    <t>г. Нягань, мкр. 2-й, д. 15</t>
  </si>
  <si>
    <t>385</t>
  </si>
  <si>
    <t>г. Нягань, мкр. 2-й, д. 16</t>
  </si>
  <si>
    <t>386</t>
  </si>
  <si>
    <t>г. Нягань, мкр. 2-й, д. 17</t>
  </si>
  <si>
    <t>387</t>
  </si>
  <si>
    <t>г. Нягань, мкр. 2-й, д. 18</t>
  </si>
  <si>
    <t>388</t>
  </si>
  <si>
    <t>г. Нягань, мкр. 2-й, д. 19</t>
  </si>
  <si>
    <t>389</t>
  </si>
  <si>
    <t>г. Нягань, мкр. 2-й, д. 2</t>
  </si>
  <si>
    <t>390</t>
  </si>
  <si>
    <t>г. Нягань, мкр. 2-й, д. 20</t>
  </si>
  <si>
    <t>391</t>
  </si>
  <si>
    <t>г. Нягань, мкр. 2-й, д. 22</t>
  </si>
  <si>
    <t>392</t>
  </si>
  <si>
    <t>г. Нягань, мкр. 2-й, д. 23</t>
  </si>
  <si>
    <t>393</t>
  </si>
  <si>
    <t>г. Нягань, мкр. 2-й, д. 43</t>
  </si>
  <si>
    <t>394</t>
  </si>
  <si>
    <t>г. Нягань, мкр. 3-й, д. 5</t>
  </si>
  <si>
    <t>395</t>
  </si>
  <si>
    <t>г. Нягань, мкр. 4-й, д. 11</t>
  </si>
  <si>
    <t>396</t>
  </si>
  <si>
    <t>г. Нягань, мкр. 4-й, д. 12</t>
  </si>
  <si>
    <t>397</t>
  </si>
  <si>
    <t>г. Нягань, мкр. 4-й, д. 5Б</t>
  </si>
  <si>
    <t>398</t>
  </si>
  <si>
    <t>г. Нягань, мкр. 4-й, д. 7</t>
  </si>
  <si>
    <t>399</t>
  </si>
  <si>
    <t>г. Нягань, ул. 30 лет Победы, д. 9А</t>
  </si>
  <si>
    <t>400</t>
  </si>
  <si>
    <t>г. Нягань, ул. Завокзальная, д. 1</t>
  </si>
  <si>
    <t>401</t>
  </si>
  <si>
    <t>г. Нягань, ул. Мира, д. 11</t>
  </si>
  <si>
    <t>402</t>
  </si>
  <si>
    <t>г. Нягань, ул. Мира, д. 6Б</t>
  </si>
  <si>
    <t>403</t>
  </si>
  <si>
    <t>г. Нягань, ул. Пионерская, д. 58А</t>
  </si>
  <si>
    <t>404</t>
  </si>
  <si>
    <t>г. Нягань, ул. Пионерская, д. 90</t>
  </si>
  <si>
    <t>405</t>
  </si>
  <si>
    <t>г. Нягань, ул. Речная, д. 105</t>
  </si>
  <si>
    <t>406</t>
  </si>
  <si>
    <t>г. Нягань, ул. Речная, д. 107</t>
  </si>
  <si>
    <t>407</t>
  </si>
  <si>
    <t>г. Нягань, ул. Речная, д. 109</t>
  </si>
  <si>
    <t>408</t>
  </si>
  <si>
    <t>г. Нягань, ул. Речная, д. 117</t>
  </si>
  <si>
    <t>409</t>
  </si>
  <si>
    <t>г. Нягань, ул. Речная, д. 121</t>
  </si>
  <si>
    <t>410</t>
  </si>
  <si>
    <t>г. Нягань, ул. Речная, д. 171</t>
  </si>
  <si>
    <t>411</t>
  </si>
  <si>
    <t>г. Нягань, ул. Речная, д. 177</t>
  </si>
  <si>
    <t>412</t>
  </si>
  <si>
    <t>г. Нягань, ул. Речная, д. 187</t>
  </si>
  <si>
    <t>413</t>
  </si>
  <si>
    <t>г. Нягань, ул. Тихона Сенькина, д. 14</t>
  </si>
  <si>
    <t>414</t>
  </si>
  <si>
    <t>г. Нягань, ул. Уральская, д. 19</t>
  </si>
  <si>
    <t>Итого по городскому округу Нягань на 2023 год</t>
  </si>
  <si>
    <t>Октябрьский муниципальный район</t>
  </si>
  <si>
    <t>415</t>
  </si>
  <si>
    <t>пгт. Октябрьское, ул. Комсомольская, д. 16</t>
  </si>
  <si>
    <t>416</t>
  </si>
  <si>
    <t>с. Перегребное, ул. Строителей, д. 30</t>
  </si>
  <si>
    <t>417</t>
  </si>
  <si>
    <t>пгт. Приобье, мкр. Газовиков, д. 19А</t>
  </si>
  <si>
    <t>Скатная</t>
  </si>
  <si>
    <t>418</t>
  </si>
  <si>
    <t>пгт. Талинка, мкр. 2,  д. 1</t>
  </si>
  <si>
    <t>419</t>
  </si>
  <si>
    <t>п. Унъюган, мкр. 40 лет Победы, д. 10</t>
  </si>
  <si>
    <t>420</t>
  </si>
  <si>
    <t>п. Унъюган, ул. Газпромовская, д. 8</t>
  </si>
  <si>
    <t>421</t>
  </si>
  <si>
    <t>п. Унъюган, ул. Газпромовская, д. 10</t>
  </si>
  <si>
    <t>422</t>
  </si>
  <si>
    <t>п. Унъюган, ул. Газпромовская, д. 12</t>
  </si>
  <si>
    <t>423</t>
  </si>
  <si>
    <t>п. Унъюган, ул. Газпромовская, д. 14</t>
  </si>
  <si>
    <t>424</t>
  </si>
  <si>
    <t>п. Унъюган, ул. Газпромовская, д. 18</t>
  </si>
  <si>
    <t>425</t>
  </si>
  <si>
    <t>п. Унъюган, ул. Газпромовская, д. 29</t>
  </si>
  <si>
    <t>Итого по Октябрьскому муниципальному району на 2023 год</t>
  </si>
  <si>
    <t>Городской округ Покачи</t>
  </si>
  <si>
    <t>426</t>
  </si>
  <si>
    <t>г. Покачи, ул. Комсомольская, д. 6</t>
  </si>
  <si>
    <t>427</t>
  </si>
  <si>
    <t>г. Покачи, ул. Комсомольская, д. 7</t>
  </si>
  <si>
    <t>428</t>
  </si>
  <si>
    <t>г. Покачи, ул. Ленина, д. 1</t>
  </si>
  <si>
    <t>429</t>
  </si>
  <si>
    <t>г. Покачи, ул. Ленина, д. 2</t>
  </si>
  <si>
    <t>430</t>
  </si>
  <si>
    <t>г. Покачи, ул. Ленина, д. 3</t>
  </si>
  <si>
    <t>431</t>
  </si>
  <si>
    <t>г. Покачи, ул. Ленина, д. 4</t>
  </si>
  <si>
    <t>432</t>
  </si>
  <si>
    <t>г. Покачи, ул. Ленина, д. 12</t>
  </si>
  <si>
    <t>433</t>
  </si>
  <si>
    <t>г. Покачи, ул. Мира, д. 1</t>
  </si>
  <si>
    <t>434</t>
  </si>
  <si>
    <t>г. Покачи, ул. Мира, д. 3</t>
  </si>
  <si>
    <t>435</t>
  </si>
  <si>
    <t>г. Покачи, ул. Мира, д. 4</t>
  </si>
  <si>
    <t>436</t>
  </si>
  <si>
    <t>г. Покачи, ул. Мира, д. 5</t>
  </si>
  <si>
    <t>437</t>
  </si>
  <si>
    <t>г. Покачи, ул. Мира, д. 7</t>
  </si>
  <si>
    <t>438</t>
  </si>
  <si>
    <t>г. Покачи, ул. Мира, д. 14</t>
  </si>
  <si>
    <t>439</t>
  </si>
  <si>
    <t>г. Покачи, ул. Мира, д. 16</t>
  </si>
  <si>
    <t>440</t>
  </si>
  <si>
    <t>г. Покачи, ул. Молодежная, д. 1</t>
  </si>
  <si>
    <t>441</t>
  </si>
  <si>
    <t>г. Покачи, ул. Молодежная, д. 5</t>
  </si>
  <si>
    <t>442</t>
  </si>
  <si>
    <t>г. Покачи, ул. Молодежная, д. 7</t>
  </si>
  <si>
    <t>443</t>
  </si>
  <si>
    <t>г. Покачи, ул. Молодежная, д. 8</t>
  </si>
  <si>
    <t>444</t>
  </si>
  <si>
    <t>г. Покачи, ул. Промышленная, д. 13</t>
  </si>
  <si>
    <t>445</t>
  </si>
  <si>
    <t>г. Покачи, ул. Таежная, д. 8</t>
  </si>
  <si>
    <t>446</t>
  </si>
  <si>
    <t>г. Покачи, ул. Таежная, д. 16</t>
  </si>
  <si>
    <t>Итого по городскому округу Покачи на 2023 год</t>
  </si>
  <si>
    <t>Городской округ Пыть-Ях</t>
  </si>
  <si>
    <t>447</t>
  </si>
  <si>
    <t>г. Пыть-Ях, мкр 1-й Центральный, д. 14</t>
  </si>
  <si>
    <t>448</t>
  </si>
  <si>
    <t>г. Пыть-Ях, мкр 1-й Центральный, д. 15</t>
  </si>
  <si>
    <t>449</t>
  </si>
  <si>
    <t>г. Пыть-Ях, мкр 2а Лесников, ул. Советская, д. 30А</t>
  </si>
  <si>
    <t>450</t>
  </si>
  <si>
    <t>г. Пыть-Ях, мкр 2а Лесников, ул. Советская, д. 32А</t>
  </si>
  <si>
    <t>451</t>
  </si>
  <si>
    <t>г. Пыть-Ях, мкр 2а Лесников, ул. Советская, д. 35</t>
  </si>
  <si>
    <t>452</t>
  </si>
  <si>
    <t>г. Пыть-Ях, мкр 2а Лесников, ул. Советская, д. 39</t>
  </si>
  <si>
    <t>453</t>
  </si>
  <si>
    <t>г. Пыть-Ях, мкр 2а Лесников, ул. Советская, д. 41</t>
  </si>
  <si>
    <t>454</t>
  </si>
  <si>
    <t>г. Пыть-Ях, мкр 2-й Нефтяников, д. 14</t>
  </si>
  <si>
    <t>455</t>
  </si>
  <si>
    <t>г. Пыть-Ях, мкр 2-й Нефтяников, д. 15</t>
  </si>
  <si>
    <t>456</t>
  </si>
  <si>
    <t>г. Пыть-Ях, мкр 2-й Нефтяников, д. 17</t>
  </si>
  <si>
    <t>457</t>
  </si>
  <si>
    <t>г. Пыть-Ях, мкр 2-й Нефтяников, д. 18</t>
  </si>
  <si>
    <t>458</t>
  </si>
  <si>
    <t>г. Пыть-Ях, мкр 2-й Нефтяников, д. 19</t>
  </si>
  <si>
    <t>459</t>
  </si>
  <si>
    <t>г. Пыть-Ях, мкр 2-й Нефтяников, д. 21</t>
  </si>
  <si>
    <t>460</t>
  </si>
  <si>
    <t>г. Пыть-Ях, мкр 2-й Нефтяников, д. 22</t>
  </si>
  <si>
    <t>461</t>
  </si>
  <si>
    <t>г. Пыть-Ях, мкр 2-й Нефтяников, д. 23</t>
  </si>
  <si>
    <t>462</t>
  </si>
  <si>
    <t>г. Пыть-Ях, мкр 2-й Нефтяников, д. 24</t>
  </si>
  <si>
    <t>463</t>
  </si>
  <si>
    <t>г. Пыть-Ях, мкр 2-й Нефтяников, д. 29</t>
  </si>
  <si>
    <t>464</t>
  </si>
  <si>
    <t>г. Пыть-Ях, мкр. 10 Мамонтово, д. 10</t>
  </si>
  <si>
    <t>465</t>
  </si>
  <si>
    <t>г. Пыть-Ях, мкр. 3 Кедровый, д. 18А</t>
  </si>
  <si>
    <t>466</t>
  </si>
  <si>
    <t>г. Пыть-Ях, мкр. 3 Кедровый, д. 41</t>
  </si>
  <si>
    <t>467</t>
  </si>
  <si>
    <t>г. Пыть-Ях, мкр. 3 Кедровый, д. 44</t>
  </si>
  <si>
    <t>468</t>
  </si>
  <si>
    <t>г. Пыть-Ях, мкр. 5-й Солнечный, д. 10/1</t>
  </si>
  <si>
    <t>469</t>
  </si>
  <si>
    <t>г. Пыть-Ях, мкр. 5-й Солнечный, д. 10/3</t>
  </si>
  <si>
    <t>470</t>
  </si>
  <si>
    <t>г. Пыть-Ях, ул. Сибирская (мкр. 2а Лесников), д. 3</t>
  </si>
  <si>
    <t>Итого по городскому округу Пыть-Ях на 2023 год</t>
  </si>
  <si>
    <t>Городской округ Радужный</t>
  </si>
  <si>
    <t>471</t>
  </si>
  <si>
    <t>г. Радужный, мкр. 1-й, д. 12</t>
  </si>
  <si>
    <t>472</t>
  </si>
  <si>
    <t>г. Радужный, мкр. 1-й, д. 2</t>
  </si>
  <si>
    <t>473</t>
  </si>
  <si>
    <t>г. Радужный, мкр. 1-й, д. 30</t>
  </si>
  <si>
    <t>474</t>
  </si>
  <si>
    <t>г. Радужный, мкр. 2-й, д. 2</t>
  </si>
  <si>
    <t>475</t>
  </si>
  <si>
    <t>г. Радужный, мкр. 2-й, д. 20</t>
  </si>
  <si>
    <t>476</t>
  </si>
  <si>
    <t>г. Радужный, мкр. 2-й, д. 22</t>
  </si>
  <si>
    <t>477</t>
  </si>
  <si>
    <t>г. Радужный, мкр. 2-й, д. 23</t>
  </si>
  <si>
    <t>478</t>
  </si>
  <si>
    <t>г. Радужный, мкр. 2-й, д. 25</t>
  </si>
  <si>
    <t>479</t>
  </si>
  <si>
    <t>г. Радужный, мкр. 2-й, д. 3</t>
  </si>
  <si>
    <t>480</t>
  </si>
  <si>
    <t>г. Радужный, мкр. 2-й, д. 4</t>
  </si>
  <si>
    <t>481</t>
  </si>
  <si>
    <t>г. Радужный, мкр. 2-й, д. 5</t>
  </si>
  <si>
    <t>482</t>
  </si>
  <si>
    <t>г. Радужный, мкр. 2-й, д. 6</t>
  </si>
  <si>
    <t>483</t>
  </si>
  <si>
    <t>г. Радужный, мкр. 3-й, д. 1</t>
  </si>
  <si>
    <t>484</t>
  </si>
  <si>
    <t>г. Радужный, мкр. 3-й, д. 11</t>
  </si>
  <si>
    <t>485</t>
  </si>
  <si>
    <t>г. Радужный, мкр. 3-й, д. 13</t>
  </si>
  <si>
    <t>486</t>
  </si>
  <si>
    <t>г. Радужный, мкр. 4-й, д. 29</t>
  </si>
  <si>
    <t>487</t>
  </si>
  <si>
    <t>г. Радужный, мкр. 7-й, д. 12</t>
  </si>
  <si>
    <t>488</t>
  </si>
  <si>
    <t>г. Радужный, мкр. 7-й, д. 14</t>
  </si>
  <si>
    <t>489</t>
  </si>
  <si>
    <t>г. Радужный, мкр. 7-й, д. 8</t>
  </si>
  <si>
    <t>490</t>
  </si>
  <si>
    <t>г. Радужный, мкр. 9-й, д. 46</t>
  </si>
  <si>
    <t>491</t>
  </si>
  <si>
    <t>г. Радужный, мкр. 9-й, д. 47</t>
  </si>
  <si>
    <t>Итого по городскому округу Радужный на 2023 год</t>
  </si>
  <si>
    <t>Советский муниципальный район</t>
  </si>
  <si>
    <t>492</t>
  </si>
  <si>
    <t>г. Советский, мкр. Нефтяник, д. 15</t>
  </si>
  <si>
    <t>493</t>
  </si>
  <si>
    <t>г. Советский, ул. Гагарина, д. 62</t>
  </si>
  <si>
    <t>494</t>
  </si>
  <si>
    <t>г. Советский, ул. Гастелло, д. 39А</t>
  </si>
  <si>
    <t>495</t>
  </si>
  <si>
    <t>г. Советский, ул. Киевская, д. 27</t>
  </si>
  <si>
    <t>496</t>
  </si>
  <si>
    <t>г. Советский, ул. Киевская, д. 28</t>
  </si>
  <si>
    <t>497</t>
  </si>
  <si>
    <t>г. Советский, ул. Кошевого, д. 7</t>
  </si>
  <si>
    <t>498</t>
  </si>
  <si>
    <t>г. Советский, ул. Макаренко, д. 6</t>
  </si>
  <si>
    <t>499</t>
  </si>
  <si>
    <t>г. Советский, ул. Октябрьская, д. 4</t>
  </si>
  <si>
    <t>500</t>
  </si>
  <si>
    <t>г. Советский, ул. Октябрьская, д. 6</t>
  </si>
  <si>
    <t>501</t>
  </si>
  <si>
    <t>г. Советский, ул. Припарковая, д. 1</t>
  </si>
  <si>
    <t>502</t>
  </si>
  <si>
    <t>г. Советский, ул. Припарковая, д. 2</t>
  </si>
  <si>
    <t>503</t>
  </si>
  <si>
    <t>г. Советский, ул. Строительная, д. 4</t>
  </si>
  <si>
    <t>504</t>
  </si>
  <si>
    <t>г. Советский, ул. Трассовиков, д. 2А</t>
  </si>
  <si>
    <t>505</t>
  </si>
  <si>
    <t>г. Советский, ул. Юбилейная, д. 52</t>
  </si>
  <si>
    <t>506</t>
  </si>
  <si>
    <t>г. Советский, ул. Юбилейная, д. 56</t>
  </si>
  <si>
    <t>507</t>
  </si>
  <si>
    <t>г. Советский, ул. Юбилейная, д. 73</t>
  </si>
  <si>
    <t>508</t>
  </si>
  <si>
    <t>п. Алябьевский, ул. Коммунистическая, д. 16А</t>
  </si>
  <si>
    <t>509</t>
  </si>
  <si>
    <t>п. Алябьевский, ул. Коммунистическая, д. 18</t>
  </si>
  <si>
    <t>510</t>
  </si>
  <si>
    <t>п. Алябьевский, ул. Токмянина, д. 6</t>
  </si>
  <si>
    <t>511</t>
  </si>
  <si>
    <t>пгт. Агириш, ул. Вокзальная, д. 11</t>
  </si>
  <si>
    <t>512</t>
  </si>
  <si>
    <t>пгт. Агириш, ул. Вокзальная, д. 9</t>
  </si>
  <si>
    <t>Итого по Советскому муниципальному району на 2023 год</t>
  </si>
  <si>
    <t>Городской округ Сургут</t>
  </si>
  <si>
    <t>513</t>
  </si>
  <si>
    <t>г. Сургут, пр-кт. Комсомольский, д. 12</t>
  </si>
  <si>
    <t>514</t>
  </si>
  <si>
    <t>г. Сургут, пр-кт. Комсомольский, д. 12/1</t>
  </si>
  <si>
    <t>515</t>
  </si>
  <si>
    <t>г. Сургут, пр-кт. Комсомольский, д. 20/1</t>
  </si>
  <si>
    <t>516</t>
  </si>
  <si>
    <t>г. Сургут, пр-кт. Комсомольский, д. 21</t>
  </si>
  <si>
    <t>517</t>
  </si>
  <si>
    <t>г. Сургут, пр-кт. Комсомольский, д. 21/1</t>
  </si>
  <si>
    <t>518</t>
  </si>
  <si>
    <t>г. Сургут, пр-кт. Комсомольский, д. 25</t>
  </si>
  <si>
    <t>519</t>
  </si>
  <si>
    <t>г. Сургут, пр-кт. Комсомольский, д. 27/1</t>
  </si>
  <si>
    <t>520</t>
  </si>
  <si>
    <t>г. Сургут, пр-кт. Комсомольский, д. 44/2</t>
  </si>
  <si>
    <t>521</t>
  </si>
  <si>
    <t>г. Сургут, пр-кт. Комсомольский, д. 6</t>
  </si>
  <si>
    <t>522</t>
  </si>
  <si>
    <t>г. Сургут, пр-кт. Комсомольский, д. 6/1</t>
  </si>
  <si>
    <t>523</t>
  </si>
  <si>
    <t>г. Сургут, пр-кт. Ленина, д. 35/1</t>
  </si>
  <si>
    <t>524</t>
  </si>
  <si>
    <t>г. Сургут, пр-кт. Ленина, д. 36</t>
  </si>
  <si>
    <t>525</t>
  </si>
  <si>
    <t>г. Сургут, пр-кт. Ленина, д. 37</t>
  </si>
  <si>
    <t>526</t>
  </si>
  <si>
    <t>г. Сургут, пр-кт. Ленина, д. 37/1</t>
  </si>
  <si>
    <t>527</t>
  </si>
  <si>
    <t>г. Сургут, пр-кт. Ленина, д. 37/2</t>
  </si>
  <si>
    <t>528</t>
  </si>
  <si>
    <t>г. Сургут, пр-кт. Ленина, д. 39</t>
  </si>
  <si>
    <t>529</t>
  </si>
  <si>
    <t>г. Сургут, пр-кт. Ленина, д. 39/1</t>
  </si>
  <si>
    <t>530</t>
  </si>
  <si>
    <t>г. Сургут, пр-кт. Ленина, д. 42</t>
  </si>
  <si>
    <t>531</t>
  </si>
  <si>
    <t>г. Сургут, пр-кт. Ленина, д. 50</t>
  </si>
  <si>
    <t>532</t>
  </si>
  <si>
    <t>г. Сургут, пр-кт. Ленина, д. 52</t>
  </si>
  <si>
    <t>533</t>
  </si>
  <si>
    <t>г. Сургут, пр-кт. Ленина, д. 53</t>
  </si>
  <si>
    <t>534</t>
  </si>
  <si>
    <t>г. Сургут, пр-кт. Ленина, д. 54</t>
  </si>
  <si>
    <t>535</t>
  </si>
  <si>
    <t>г. Сургут, пр-кт. Ленина, д. 55</t>
  </si>
  <si>
    <t>536</t>
  </si>
  <si>
    <t>г. Сургут, пр-кт. Ленина, д. 56</t>
  </si>
  <si>
    <t>537</t>
  </si>
  <si>
    <t>г. Сургут, пр-кт. Ленина, д. 58</t>
  </si>
  <si>
    <t>538</t>
  </si>
  <si>
    <t>г. Сургут, пр-кт. Мира, д. 10</t>
  </si>
  <si>
    <t>539</t>
  </si>
  <si>
    <t>г. Сургут, пр-кт. Мира, д. 17</t>
  </si>
  <si>
    <t>540</t>
  </si>
  <si>
    <t>г. Сургут, пр-кт. Мира, д. 24</t>
  </si>
  <si>
    <t>541</t>
  </si>
  <si>
    <t>г. Сургут, пр-кт. Мира, д. 28</t>
  </si>
  <si>
    <t>542</t>
  </si>
  <si>
    <t>г. Сургут, пр-кт. Мира, д. 30</t>
  </si>
  <si>
    <t>543</t>
  </si>
  <si>
    <t>г. Сургут, пр-кт. Мира, д. 30/1</t>
  </si>
  <si>
    <t>544</t>
  </si>
  <si>
    <t>г. Сургут, пр-кт. Мира, д. 31</t>
  </si>
  <si>
    <t>545</t>
  </si>
  <si>
    <t>г. Сургут, пр-кт. Мира, д. 39</t>
  </si>
  <si>
    <t>546</t>
  </si>
  <si>
    <t>г. Сургут, пр-кт. Мира, д. 4</t>
  </si>
  <si>
    <t>547</t>
  </si>
  <si>
    <t>г. Сургут, пр-кт. Мира, д. 4/1</t>
  </si>
  <si>
    <t>548</t>
  </si>
  <si>
    <t>г. Сургут, пр-кт. Мира, д. 6</t>
  </si>
  <si>
    <t>549</t>
  </si>
  <si>
    <t>г. Сургут, пр-кт. Набережный, д. 66</t>
  </si>
  <si>
    <t>550</t>
  </si>
  <si>
    <t>г. Сургут, пр-кт. Набережный, д. 76</t>
  </si>
  <si>
    <t>551</t>
  </si>
  <si>
    <t>г. Сургут, пр-кт. Пролетарский, д. 14</t>
  </si>
  <si>
    <t>552</t>
  </si>
  <si>
    <t>г. Сургут, пр-кт. Пролетарский, д. 24</t>
  </si>
  <si>
    <t>553</t>
  </si>
  <si>
    <t>г. Сургут, пр-кт. Пролетарский, д. 26</t>
  </si>
  <si>
    <t>554</t>
  </si>
  <si>
    <t>г. Сургут, проезд Взлетный, д. 5</t>
  </si>
  <si>
    <t>555</t>
  </si>
  <si>
    <t>г. Сургут, проезд Взлетный, д. 5/1</t>
  </si>
  <si>
    <t>556</t>
  </si>
  <si>
    <t>г. Сургут, проезд Взлетный, д. 7</t>
  </si>
  <si>
    <t>557</t>
  </si>
  <si>
    <t>г. Сургут, проезд Дружбы, д. 9</t>
  </si>
  <si>
    <t>558</t>
  </si>
  <si>
    <t>г. Сургут, проезд Первопроходцев, д. 1</t>
  </si>
  <si>
    <t>559</t>
  </si>
  <si>
    <t>г. Сургут, проезд Первопроходцев, д. 11</t>
  </si>
  <si>
    <t>560</t>
  </si>
  <si>
    <t>г. Сургут, проезд Первопроходцев, д. 11/2</t>
  </si>
  <si>
    <t>561</t>
  </si>
  <si>
    <t>г. Сургут, проезд Первопроходцев, д. 14</t>
  </si>
  <si>
    <t>562</t>
  </si>
  <si>
    <t>г. Сургут, проезд Первопроходцев, д. 7/1</t>
  </si>
  <si>
    <t>563</t>
  </si>
  <si>
    <t>г. Сургут, проезд Первопроходцев, д. 8</t>
  </si>
  <si>
    <t>564</t>
  </si>
  <si>
    <t>г. Сургут, ул. 30 лет Победы, д. 1А</t>
  </si>
  <si>
    <t>565</t>
  </si>
  <si>
    <t>г. Сургут, ул. 30 лет Победы, д. 3А</t>
  </si>
  <si>
    <t>566</t>
  </si>
  <si>
    <t>г. Сургут, ул. 50 лет ВЛКСМ, д. 11А</t>
  </si>
  <si>
    <t>567</t>
  </si>
  <si>
    <t>г. Сургут, ул. 50 лет ВЛКСМ, д. 13</t>
  </si>
  <si>
    <t>568</t>
  </si>
  <si>
    <t>г. Сургут, ул. 50 лет ВЛКСМ, д. 2/1</t>
  </si>
  <si>
    <t>569</t>
  </si>
  <si>
    <t>г. Сургут, ул. 50 лет ВЛКСМ, д. 2/2</t>
  </si>
  <si>
    <t>570</t>
  </si>
  <si>
    <t>г. Сургут, ул. 50 лет ВЛКСМ, д. 3</t>
  </si>
  <si>
    <t>571</t>
  </si>
  <si>
    <t>г. Сургут, ул. 50 лет ВЛКСМ, д. 4</t>
  </si>
  <si>
    <t>572</t>
  </si>
  <si>
    <t>г. Сургут, ул. 50 лет ВЛКСМ, д. 6А</t>
  </si>
  <si>
    <t>573</t>
  </si>
  <si>
    <t>г. Сургут, ул. 60 лет Октября, д. 2</t>
  </si>
  <si>
    <t>574</t>
  </si>
  <si>
    <t>г. Сургут, ул. Аэрофлотская, д. 13</t>
  </si>
  <si>
    <t>575</t>
  </si>
  <si>
    <t>г. Сургут, ул. Аэрофлотская, д. 15</t>
  </si>
  <si>
    <t>576</t>
  </si>
  <si>
    <t>г. Сургут, ул. Бажова, д. 29</t>
  </si>
  <si>
    <t>577</t>
  </si>
  <si>
    <t>г. Сургут, ул. Бажова, д. 31</t>
  </si>
  <si>
    <t>578</t>
  </si>
  <si>
    <t>г. Сургут, ул. Быстринская, д. 6</t>
  </si>
  <si>
    <t>579</t>
  </si>
  <si>
    <t>г. Сургут, ул. Гагарина, д. 14</t>
  </si>
  <si>
    <t>580</t>
  </si>
  <si>
    <t>г. Сургут, ул. Гагарина, д. 24</t>
  </si>
  <si>
    <t>581</t>
  </si>
  <si>
    <t>г. Сургут, ул. Гагарина, д. 26</t>
  </si>
  <si>
    <t>582</t>
  </si>
  <si>
    <t>г. Сургут, ул. Грибоедова, д. 11</t>
  </si>
  <si>
    <t>583</t>
  </si>
  <si>
    <t>г. Сургут, ул. Грибоедова, д. 13</t>
  </si>
  <si>
    <t>584</t>
  </si>
  <si>
    <t>г. Сургут, ул. Григория Кукуевицкого, д. 10/4</t>
  </si>
  <si>
    <t>585</t>
  </si>
  <si>
    <t>г. Сургут, ул. Григория Кукуевицкого, д. 10/5</t>
  </si>
  <si>
    <t>586</t>
  </si>
  <si>
    <t>г. Сургут, ул. Григория Кукуевицкого, д. 12</t>
  </si>
  <si>
    <t>587</t>
  </si>
  <si>
    <t>г. Сургут, ул. Григория Кукуевицкого, д. 12/2</t>
  </si>
  <si>
    <t>588</t>
  </si>
  <si>
    <t>г. Сургут, ул. Григория Кукуевицкого, д. 2</t>
  </si>
  <si>
    <t>589</t>
  </si>
  <si>
    <t>г. Сургут, ул. Григория Кукуевицкого, д. 4</t>
  </si>
  <si>
    <t>590</t>
  </si>
  <si>
    <t>г. Сургут, ул. Губкина, д. 21</t>
  </si>
  <si>
    <t>591</t>
  </si>
  <si>
    <t>г. Сургут, ул. Дзержинского, д. 1</t>
  </si>
  <si>
    <t>592</t>
  </si>
  <si>
    <t>г. Сургут, ул. Дзержинского, д. 10</t>
  </si>
  <si>
    <t>593</t>
  </si>
  <si>
    <t>г. Сургут, ул. Дзержинского, д. 13/1</t>
  </si>
  <si>
    <t>594</t>
  </si>
  <si>
    <t>г. Сургут, ул. Дзержинского, д. 14А</t>
  </si>
  <si>
    <t>595</t>
  </si>
  <si>
    <t>г. Сургут, ул. Дзержинского, д. 14Б</t>
  </si>
  <si>
    <t>596</t>
  </si>
  <si>
    <t>г. Сургут, ул. Дзержинского, д. 15</t>
  </si>
  <si>
    <t>597</t>
  </si>
  <si>
    <t>г. Сургут, ул. Дзержинского, д. 16В</t>
  </si>
  <si>
    <t>598</t>
  </si>
  <si>
    <t>г. Сургут, ул. Дзержинского, д. 24</t>
  </si>
  <si>
    <t>599</t>
  </si>
  <si>
    <t>г. Сургут, ул. Дзержинского, д. 3А</t>
  </si>
  <si>
    <t>600</t>
  </si>
  <si>
    <t>г. Сургут, ул. Дзержинского, д. 3Б</t>
  </si>
  <si>
    <t>601</t>
  </si>
  <si>
    <t>г. Сургут, ул. Дзержинского, д. 4</t>
  </si>
  <si>
    <t>602</t>
  </si>
  <si>
    <t>г. Сургут, ул. Дзержинского, д. 4/1</t>
  </si>
  <si>
    <t>603</t>
  </si>
  <si>
    <t>г. Сургут, ул. Дзержинского, д. 7/2</t>
  </si>
  <si>
    <t>604</t>
  </si>
  <si>
    <t>г. Сургут, ул. Дзержинского, д. 7/3</t>
  </si>
  <si>
    <t>605</t>
  </si>
  <si>
    <t>г. Сургут, ул. Дзержинского, д. 9/1</t>
  </si>
  <si>
    <t>606</t>
  </si>
  <si>
    <t>г. Сургут, ул. Дзержинского, д. 9/2</t>
  </si>
  <si>
    <t>607</t>
  </si>
  <si>
    <t>г. Сургут, ул. Крылова, д. 21</t>
  </si>
  <si>
    <t>608</t>
  </si>
  <si>
    <t>г. Сургут, ул. Крылова, д. 25</t>
  </si>
  <si>
    <t>609</t>
  </si>
  <si>
    <t>г. Сургут, ул. Крылова, д. 39</t>
  </si>
  <si>
    <t>610</t>
  </si>
  <si>
    <t>г. Сургут, ул. Крылова, д. 43</t>
  </si>
  <si>
    <t>611</t>
  </si>
  <si>
    <t>г. Сургут, ул. Ленинградская, д. 1</t>
  </si>
  <si>
    <t>612</t>
  </si>
  <si>
    <t>г. Сургут, ул. Лермонтова, д. 4</t>
  </si>
  <si>
    <t>613</t>
  </si>
  <si>
    <t>г. Сургут, ул. Лермонтова, д. 4/1</t>
  </si>
  <si>
    <t>614</t>
  </si>
  <si>
    <t>г. Сургут, ул. Лермонтова, д. 4/2</t>
  </si>
  <si>
    <t>615</t>
  </si>
  <si>
    <t>г. Сургут, ул. Лермонтова, д. 6</t>
  </si>
  <si>
    <t>616</t>
  </si>
  <si>
    <t>г. Сургут, ул. Лермонтова, д. 6/2</t>
  </si>
  <si>
    <t>617</t>
  </si>
  <si>
    <t>г. Сургут, ул. Лермонтова, д. 6/3</t>
  </si>
  <si>
    <t>618</t>
  </si>
  <si>
    <t>г. Сургут, ул. Магистральная, д. 10</t>
  </si>
  <si>
    <t>619</t>
  </si>
  <si>
    <t>г. Сургут, ул. Магистральная, д. 28</t>
  </si>
  <si>
    <t>620</t>
  </si>
  <si>
    <t>г. Сургут, ул. Магистральная, д. 32</t>
  </si>
  <si>
    <t>621</t>
  </si>
  <si>
    <t>г. Сургут, ул. Магистральная, д. 34</t>
  </si>
  <si>
    <t>622</t>
  </si>
  <si>
    <t>г. Сургут, ул. Магистральная, д. 36</t>
  </si>
  <si>
    <t>623</t>
  </si>
  <si>
    <t>г. Сургут, ул. Майская, д. 10</t>
  </si>
  <si>
    <t>624</t>
  </si>
  <si>
    <t>г. Сургут, ул. Майская, д. 13/1</t>
  </si>
  <si>
    <t>625</t>
  </si>
  <si>
    <t>г. Сургут, ул. Майская, д. 13/2</t>
  </si>
  <si>
    <t>626</t>
  </si>
  <si>
    <t>г. Сургут, ул. Майская, д. 6</t>
  </si>
  <si>
    <t>627</t>
  </si>
  <si>
    <t>г. Сургут, ул. Майская, д. 8</t>
  </si>
  <si>
    <t>628</t>
  </si>
  <si>
    <t>г. Сургут, ул. Маяковского, д. 16</t>
  </si>
  <si>
    <t>629</t>
  </si>
  <si>
    <t>г. Сургут, ул. Маяковского, д. 18</t>
  </si>
  <si>
    <t>630</t>
  </si>
  <si>
    <t>г. Сургут, ул. Маяковского, д. 27/1</t>
  </si>
  <si>
    <t>631</t>
  </si>
  <si>
    <t>г. Сургут, ул. Маяковского, д. 39</t>
  </si>
  <si>
    <t>632</t>
  </si>
  <si>
    <t>г. Сургут, ул. Маяковского, д. 47</t>
  </si>
  <si>
    <t>633</t>
  </si>
  <si>
    <t>г. Сургут, ул. Маяковского, д. 47, корп. 1</t>
  </si>
  <si>
    <t>634</t>
  </si>
  <si>
    <t>г. Сургут, ул. Маяковского, д. 49</t>
  </si>
  <si>
    <t>635</t>
  </si>
  <si>
    <t>г. Сургут, ул. Маяковского, д. 49, корп. 1</t>
  </si>
  <si>
    <t>636</t>
  </si>
  <si>
    <t>г. Сургут, ул. Мелик-Карамова, д. 25/1</t>
  </si>
  <si>
    <t>637</t>
  </si>
  <si>
    <t>г. Сургут, ул. Мелик-Карамова, д. 25/2</t>
  </si>
  <si>
    <t>638</t>
  </si>
  <si>
    <t>г. Сургут, ул. Мелик-Карамова, д. 72</t>
  </si>
  <si>
    <t>639</t>
  </si>
  <si>
    <t>г. Сургут, ул. Мелик-Карамова, д. 74А</t>
  </si>
  <si>
    <t>640</t>
  </si>
  <si>
    <t>г. Сургут, ул. Мелик-Карамова, д. 76В</t>
  </si>
  <si>
    <t>641</t>
  </si>
  <si>
    <t>г. Сургут, ул. Мечникова, д. 11</t>
  </si>
  <si>
    <t>642</t>
  </si>
  <si>
    <t>г. Сургут, ул. Московская, д. 34</t>
  </si>
  <si>
    <t>643</t>
  </si>
  <si>
    <t>г. Сургут, ул. Нагорная, д. 13</t>
  </si>
  <si>
    <t>644</t>
  </si>
  <si>
    <t>г. Сургут, ул. Нагорная, д. 3</t>
  </si>
  <si>
    <t>645</t>
  </si>
  <si>
    <t>г. Сургут, ул. Нагорная, д. 9</t>
  </si>
  <si>
    <t>646</t>
  </si>
  <si>
    <t>г. Сургут, ул. Островского, д. 18</t>
  </si>
  <si>
    <t>648</t>
  </si>
  <si>
    <t>г. Сургут, ул. Островского, д. 2</t>
  </si>
  <si>
    <t>649</t>
  </si>
  <si>
    <t>г. Сургут, ул. Островского, д. 21/1</t>
  </si>
  <si>
    <t>650</t>
  </si>
  <si>
    <t>г. Сургут, ул. Островского, д. 21А</t>
  </si>
  <si>
    <t>651</t>
  </si>
  <si>
    <t>г. Сургут, ул. Островского, д. 24</t>
  </si>
  <si>
    <t>652</t>
  </si>
  <si>
    <t>г. Сургут, ул. Островского, д. 26, корп. 1</t>
  </si>
  <si>
    <t>653</t>
  </si>
  <si>
    <t>г. Сургут, ул. Островского, д. 28</t>
  </si>
  <si>
    <t>654</t>
  </si>
  <si>
    <t>г. Сургут, ул. Островского, д. 29</t>
  </si>
  <si>
    <t>655</t>
  </si>
  <si>
    <t>г. Сургут, ул. Островского, д. 30</t>
  </si>
  <si>
    <t>656</t>
  </si>
  <si>
    <t>г. Сургут, ул. Островского, д. 40</t>
  </si>
  <si>
    <t>657</t>
  </si>
  <si>
    <t>г. Сургут, ул. Островского, д. 42</t>
  </si>
  <si>
    <t>658</t>
  </si>
  <si>
    <t>г. Сургут, ул. Островского, д. 46</t>
  </si>
  <si>
    <t>659</t>
  </si>
  <si>
    <t>г. Сургут, ул. Островского, д. 8</t>
  </si>
  <si>
    <t>660</t>
  </si>
  <si>
    <t>г. Сургут, ул. Островского, д. 9</t>
  </si>
  <si>
    <t>661</t>
  </si>
  <si>
    <t>г. Сургут, ул. Островского, д. 9/1</t>
  </si>
  <si>
    <t>662</t>
  </si>
  <si>
    <t>г. Сургут, ул. Привокзальная, д. 2</t>
  </si>
  <si>
    <t>663</t>
  </si>
  <si>
    <t>г. Сургут, ул. Привокзальная, д. 26</t>
  </si>
  <si>
    <t>664</t>
  </si>
  <si>
    <t>г. Сургут, ул. Привокзальная, д. 4</t>
  </si>
  <si>
    <t>665</t>
  </si>
  <si>
    <t>г. Сургут, ул. Привокзальная, д. 4А</t>
  </si>
  <si>
    <t>666</t>
  </si>
  <si>
    <t>г. Сургут, ул. Привокзальная, д. 9</t>
  </si>
  <si>
    <t>667</t>
  </si>
  <si>
    <t>г. Сургут, ул. Просвещения, д. 27</t>
  </si>
  <si>
    <t>668</t>
  </si>
  <si>
    <t>г. Сургут, ул. Просвещения, д. 29</t>
  </si>
  <si>
    <t>669</t>
  </si>
  <si>
    <t>г. Сургут, ул. Просвещения, д. 29/1</t>
  </si>
  <si>
    <t>670</t>
  </si>
  <si>
    <t>г. Сургут, ул. Просвещения, д. 33</t>
  </si>
  <si>
    <t>671</t>
  </si>
  <si>
    <t>г. Сургут, ул. Просвещения, д. 35</t>
  </si>
  <si>
    <t>672</t>
  </si>
  <si>
    <t>г. Сургут, ул. Просвещения, д. 37</t>
  </si>
  <si>
    <t>673</t>
  </si>
  <si>
    <t>г. Сургут, ул. Просвещения, д. 41</t>
  </si>
  <si>
    <t>674</t>
  </si>
  <si>
    <t>г. Сургут, ул. Просвещения, д. 43</t>
  </si>
  <si>
    <t>675</t>
  </si>
  <si>
    <t>г. Сургут, ул. Профсоюзов, д. 42</t>
  </si>
  <si>
    <t>676</t>
  </si>
  <si>
    <t>г. Сургут, ул. Профсоюзов, д. 50</t>
  </si>
  <si>
    <t>677</t>
  </si>
  <si>
    <t>г. Сургут, ул. Пушкина, д. 1</t>
  </si>
  <si>
    <t>678</t>
  </si>
  <si>
    <t>г. Сургут, ул. Пушкина, д. 14</t>
  </si>
  <si>
    <t>679</t>
  </si>
  <si>
    <t>г. Сургут, ул. Пушкина, д. 14, корп. 1</t>
  </si>
  <si>
    <t>680</t>
  </si>
  <si>
    <t>г. Сургут, ул. Пушкина, д. 15</t>
  </si>
  <si>
    <t>681</t>
  </si>
  <si>
    <t>г. Сургут, ул. Пушкина, д. 18</t>
  </si>
  <si>
    <t>682</t>
  </si>
  <si>
    <t>г. Сургут, ул. Пушкина, д. 18/1</t>
  </si>
  <si>
    <t>683</t>
  </si>
  <si>
    <t>г. Сургут, ул. Пушкина, д. 19</t>
  </si>
  <si>
    <t>684</t>
  </si>
  <si>
    <t>г. Сургут, ул. Пушкина, д. 21</t>
  </si>
  <si>
    <t>685</t>
  </si>
  <si>
    <t>г. Сургут, ул. Пушкина, д. 22</t>
  </si>
  <si>
    <t>686</t>
  </si>
  <si>
    <t>г. Сургут, ул. Пушкина, д. 24</t>
  </si>
  <si>
    <t>687</t>
  </si>
  <si>
    <t>г. Сургут, ул. Пушкина, д. 25А</t>
  </si>
  <si>
    <t>688</t>
  </si>
  <si>
    <t>г. Сургут, ул. Пушкина, д. 29</t>
  </si>
  <si>
    <t>689</t>
  </si>
  <si>
    <t>г. Сургут, ул. Пушкина, д. 33</t>
  </si>
  <si>
    <t>690</t>
  </si>
  <si>
    <t>г. Сургут, ул. Пушкина, д. 7</t>
  </si>
  <si>
    <t>691</t>
  </si>
  <si>
    <t>г. Сургут, ул. Пушкина, д. 8</t>
  </si>
  <si>
    <t>692</t>
  </si>
  <si>
    <t>г. Сургут, ул. Пушкина, д. 8/1</t>
  </si>
  <si>
    <t>693</t>
  </si>
  <si>
    <t>г. Сургут, ул. Пушкина, д. 8/3</t>
  </si>
  <si>
    <t>694</t>
  </si>
  <si>
    <t>г. Сургут, ул. Республики, д. 65</t>
  </si>
  <si>
    <t>695</t>
  </si>
  <si>
    <t>г. Сургут, ул. Республики, д. 67</t>
  </si>
  <si>
    <t>696</t>
  </si>
  <si>
    <t>г. Сургут, ул. Республики, д. 70</t>
  </si>
  <si>
    <t>697</t>
  </si>
  <si>
    <t>г. Сургут, ул. Студенческая, д. 17</t>
  </si>
  <si>
    <t>698</t>
  </si>
  <si>
    <t>г. Сургут, ул. Студенческая, д. 21</t>
  </si>
  <si>
    <t>699</t>
  </si>
  <si>
    <t>г. Сургут, ул. Толстого, д. 16</t>
  </si>
  <si>
    <t>700</t>
  </si>
  <si>
    <t>г. Сургут, ул. Толстого, д. 18</t>
  </si>
  <si>
    <t>701</t>
  </si>
  <si>
    <t>г. Сургут, ул. Толстого, д. 22</t>
  </si>
  <si>
    <t>702</t>
  </si>
  <si>
    <t>г. Сургут, ул. Толстого, д. 28</t>
  </si>
  <si>
    <t>703</t>
  </si>
  <si>
    <t>г. Сургут, ул. Федорова, д. 59</t>
  </si>
  <si>
    <t>704</t>
  </si>
  <si>
    <t>г. Сургут, ул. Федорова, д. 67</t>
  </si>
  <si>
    <t>705</t>
  </si>
  <si>
    <t>г. Сургут, ул. Энгельса, д. 9</t>
  </si>
  <si>
    <t>706</t>
  </si>
  <si>
    <t>г. Сургут, ул. Энергетиков, д. 11</t>
  </si>
  <si>
    <t>707</t>
  </si>
  <si>
    <t>г. Сургут, ул. Энергетиков, д. 11/1</t>
  </si>
  <si>
    <t>708</t>
  </si>
  <si>
    <t>г. Сургут, ул. Энергетиков, д. 17</t>
  </si>
  <si>
    <t>709</t>
  </si>
  <si>
    <t>г. Сургут, ул. Энергетиков, д. 26</t>
  </si>
  <si>
    <t>710</t>
  </si>
  <si>
    <t>г. Сургут, ул. Энергетиков, д. 26/1</t>
  </si>
  <si>
    <t>711</t>
  </si>
  <si>
    <t>г. Сургут, ул. Энергетиков, д. 29</t>
  </si>
  <si>
    <t>712</t>
  </si>
  <si>
    <t>г. Сургут, ул. Энергетиков, д. 3</t>
  </si>
  <si>
    <t>713</t>
  </si>
  <si>
    <t>г. Сургут, ул. Энергетиков, д. 3/1</t>
  </si>
  <si>
    <t>714</t>
  </si>
  <si>
    <t>г. Сургут, ул. Энергетиков, д. 3/2</t>
  </si>
  <si>
    <t>715</t>
  </si>
  <si>
    <t>г. Сургут, ул. Энергетиков, д. 7/1</t>
  </si>
  <si>
    <t>716</t>
  </si>
  <si>
    <t>г. Сургут, ул. Энергетиков, д. 9</t>
  </si>
  <si>
    <t>717</t>
  </si>
  <si>
    <t>г. Сургут, ул. Энтузиастов, д. 37</t>
  </si>
  <si>
    <t>718</t>
  </si>
  <si>
    <t>г. Сургут, ул. Энтузиастов, д. 44</t>
  </si>
  <si>
    <t>719</t>
  </si>
  <si>
    <t>г. Сургут, ул. Югорская, д. 18</t>
  </si>
  <si>
    <t>720</t>
  </si>
  <si>
    <t>г. Сургут, ул. Югорская, д. 22</t>
  </si>
  <si>
    <t>Итого по городскому округу Сургут на 2023 год</t>
  </si>
  <si>
    <t>Сургутский муниципальный район</t>
  </si>
  <si>
    <t>721</t>
  </si>
  <si>
    <t>г. Лянтор, мкр. 4-й, д. 1</t>
  </si>
  <si>
    <t>722</t>
  </si>
  <si>
    <t>г. Лянтор, мкр. 4-й, д. 10</t>
  </si>
  <si>
    <t>723</t>
  </si>
  <si>
    <t>г. Лянтор, мкр. 4-й, д. 11</t>
  </si>
  <si>
    <t>724</t>
  </si>
  <si>
    <t>г. Лянтор, мкр. 4-й, д. 13</t>
  </si>
  <si>
    <t>725</t>
  </si>
  <si>
    <t>г. Лянтор, мкр. 4-й, д. 14</t>
  </si>
  <si>
    <t>726</t>
  </si>
  <si>
    <t>г. Лянтор, мкр. 4-й, д. 15</t>
  </si>
  <si>
    <t>727</t>
  </si>
  <si>
    <t>г. Лянтор, мкр. 4-й, д. 30</t>
  </si>
  <si>
    <t>728</t>
  </si>
  <si>
    <t>г. Лянтор, мкр. 4-й, д. 9</t>
  </si>
  <si>
    <t>729</t>
  </si>
  <si>
    <t>г. Лянтор, мкр. 6а, д. 76</t>
  </si>
  <si>
    <t>730</t>
  </si>
  <si>
    <t>г. Лянтор, мкр. 6а, д. 84</t>
  </si>
  <si>
    <t>731</t>
  </si>
  <si>
    <t>г. Лянтор, мкр. 6а, д. 89</t>
  </si>
  <si>
    <t>732</t>
  </si>
  <si>
    <t>г. Лянтор, мкр. 6а, д. 90</t>
  </si>
  <si>
    <t>733</t>
  </si>
  <si>
    <t>г. Лянтор, мкр. 6а, д. 92</t>
  </si>
  <si>
    <t>734</t>
  </si>
  <si>
    <t>г. Лянтор, мкр. 6а, д. 93</t>
  </si>
  <si>
    <t>735</t>
  </si>
  <si>
    <t>г. Лянтор, мкр. 6-й, д. 105</t>
  </si>
  <si>
    <t>736</t>
  </si>
  <si>
    <t>г. Лянтор, мкр. 6-й, д. 37</t>
  </si>
  <si>
    <t>737</t>
  </si>
  <si>
    <t>г. Лянтор, ул. Набережная, д. 22</t>
  </si>
  <si>
    <t>738</t>
  </si>
  <si>
    <t>г. Лянтор, ул. Набережная, д. 24</t>
  </si>
  <si>
    <t>739</t>
  </si>
  <si>
    <t>г. Лянтор, ул. Назаргалеева, д. 26</t>
  </si>
  <si>
    <t>740</t>
  </si>
  <si>
    <t>г. Лянтор, ул. Назаргалеева, д. 30</t>
  </si>
  <si>
    <t>741</t>
  </si>
  <si>
    <t>г. Лянтор, ул. Назаргалеева, д. 32</t>
  </si>
  <si>
    <t>742</t>
  </si>
  <si>
    <t>г. Лянтор, ул. Согласия, д. 1</t>
  </si>
  <si>
    <t>743</t>
  </si>
  <si>
    <t>г. Лянтор, ул. Согласия, д. 2</t>
  </si>
  <si>
    <t>744</t>
  </si>
  <si>
    <t>г. Лянтор, ул. Согласия, д. 3</t>
  </si>
  <si>
    <t>745</t>
  </si>
  <si>
    <t>г. Лянтор, ул. Согласия, д. 4</t>
  </si>
  <si>
    <t>746</t>
  </si>
  <si>
    <t>г. Лянтор, ул. Согласия, д. 5</t>
  </si>
  <si>
    <t>747</t>
  </si>
  <si>
    <t>г. Лянтор, ул. Согласия, д. 6</t>
  </si>
  <si>
    <t>748</t>
  </si>
  <si>
    <t>п. Нижнесортымский, ул. Автомобилистов, д. 3</t>
  </si>
  <si>
    <t>749</t>
  </si>
  <si>
    <t>п. Нижнесортымский, ул. Автомобилистов, д. 5</t>
  </si>
  <si>
    <t>750</t>
  </si>
  <si>
    <t>п. Нижнесортымский, ул. Автомобилистов, д. 7</t>
  </si>
  <si>
    <t>751</t>
  </si>
  <si>
    <t>п. Нижнесортымский, ул. Автомобилистов, д. 9</t>
  </si>
  <si>
    <t>752</t>
  </si>
  <si>
    <t>п. Нижнесортымский, ул. Нефтяников, д. 14</t>
  </si>
  <si>
    <t>753</t>
  </si>
  <si>
    <t>п. Нижнесортымский, ул. Северная, д. 27</t>
  </si>
  <si>
    <t>754</t>
  </si>
  <si>
    <t>п. Нижнесортымский, ул. Северная, д. 31</t>
  </si>
  <si>
    <t>755</t>
  </si>
  <si>
    <t>п. Нижнесортымский, ул. Северная, д. 32</t>
  </si>
  <si>
    <t>756</t>
  </si>
  <si>
    <t>п. Нижнесортымский, ул. Северная, д. 33</t>
  </si>
  <si>
    <t>757</t>
  </si>
  <si>
    <t>п. Нижнесортымский, ул. Сортымская, д. 6</t>
  </si>
  <si>
    <t>758</t>
  </si>
  <si>
    <t>п. Солнечный, пер. Трассовый, д. 6А</t>
  </si>
  <si>
    <t>759</t>
  </si>
  <si>
    <t>п. Солнечный, ул. Сибирская, д. 10А</t>
  </si>
  <si>
    <t>760</t>
  </si>
  <si>
    <t>п. Ульт-Ягун, ул. 35 лет Победы, д. 10</t>
  </si>
  <si>
    <t>761</t>
  </si>
  <si>
    <t>п. Ульт-Ягун, ул. 35 лет Победы, д. 11</t>
  </si>
  <si>
    <t>762</t>
  </si>
  <si>
    <t>п. Ульт-Ягун, ул. 35 лет Победы, д. 11А</t>
  </si>
  <si>
    <t>763</t>
  </si>
  <si>
    <t>п. Ульт-Ягун, ул. 35 лет Победы, д. 8А</t>
  </si>
  <si>
    <t>764</t>
  </si>
  <si>
    <t>п. Ульт-Ягун, ул. 35 лет Победы, д. 9А</t>
  </si>
  <si>
    <t>765</t>
  </si>
  <si>
    <t>пгт. Барсово, ул. Апрельская, д. 7</t>
  </si>
  <si>
    <t>766</t>
  </si>
  <si>
    <t>пгт. Барсово, ул. Обская, д. 32</t>
  </si>
  <si>
    <t>767</t>
  </si>
  <si>
    <t>пгт. Барсово, ул. Обская, д. 34</t>
  </si>
  <si>
    <t>768</t>
  </si>
  <si>
    <t>пгт. Барсово, ул. Щемелева, д. 12</t>
  </si>
  <si>
    <t>769</t>
  </si>
  <si>
    <t>пгт. Белый Яр, мкр. 1-й, д. 3</t>
  </si>
  <si>
    <t>770</t>
  </si>
  <si>
    <t>пгт. Белый Яр, мкр. 1-й, д. 4</t>
  </si>
  <si>
    <t>771</t>
  </si>
  <si>
    <t>пгт. Белый Яр, мкр. 1-й, д. 5</t>
  </si>
  <si>
    <t>772</t>
  </si>
  <si>
    <t>пгт. Белый Яр, мкр. 1-й, д. 6</t>
  </si>
  <si>
    <t>773</t>
  </si>
  <si>
    <t>пгт. Белый Яр, мкр. 1-й, д. 7</t>
  </si>
  <si>
    <t>774</t>
  </si>
  <si>
    <t>пгт. Белый Яр, ул. Лесная, д. 26</t>
  </si>
  <si>
    <t>775</t>
  </si>
  <si>
    <t>пгт. Белый Яр, ул. Маяковского, д. 3</t>
  </si>
  <si>
    <t>776</t>
  </si>
  <si>
    <t>пгт. Белый Яр, ул. Некрасова, д. 2</t>
  </si>
  <si>
    <t>777</t>
  </si>
  <si>
    <t>пгт. Белый Яр, ул. Фадеева, д. 14/1</t>
  </si>
  <si>
    <t>778</t>
  </si>
  <si>
    <t>пгт. Белый Яр, ул. Фадеева, д. 17</t>
  </si>
  <si>
    <t>779</t>
  </si>
  <si>
    <t>пгт. Белый Яр, ул. Фадеева, д. 18</t>
  </si>
  <si>
    <t>780</t>
  </si>
  <si>
    <t>пгт. Белый Яр, ул. Фадеева, д. 19</t>
  </si>
  <si>
    <t>781</t>
  </si>
  <si>
    <t>пгт. Белый Яр, ул. Фадеева, д. 2</t>
  </si>
  <si>
    <t>782</t>
  </si>
  <si>
    <t>пгт. Белый Яр, ул. Шукшина, д. 10</t>
  </si>
  <si>
    <t>783</t>
  </si>
  <si>
    <t>пгт. Белый Яр, ул. Шукшина, д. 18</t>
  </si>
  <si>
    <t>784</t>
  </si>
  <si>
    <t>пгт. Федоровский, пер. Парковый, д. 1</t>
  </si>
  <si>
    <t>785</t>
  </si>
  <si>
    <t>пгт. Федоровский, пер. Парковый, д. 11</t>
  </si>
  <si>
    <t>786</t>
  </si>
  <si>
    <t>пгт. Федоровский, пер. Парковый, д. 3</t>
  </si>
  <si>
    <t>787</t>
  </si>
  <si>
    <t>пгт. Федоровский, пер. Парковый, д. 9</t>
  </si>
  <si>
    <t>788</t>
  </si>
  <si>
    <t>пгт. Федоровский, пер. Центральный, д. 13</t>
  </si>
  <si>
    <t>789</t>
  </si>
  <si>
    <t>пгт. Федоровский, ул. Ленина, д. 11</t>
  </si>
  <si>
    <t>790</t>
  </si>
  <si>
    <t>пгт. Федоровский, ул. Ленина, д. 13А</t>
  </si>
  <si>
    <t>791</t>
  </si>
  <si>
    <t>пгт. Федоровский, ул. Ленина, д. 14</t>
  </si>
  <si>
    <t>792</t>
  </si>
  <si>
    <t>пгт. Федоровский, ул. Ленина, д. 19А</t>
  </si>
  <si>
    <t>793</t>
  </si>
  <si>
    <t>пгт. Федоровский, ул. Ленина, д. 27А</t>
  </si>
  <si>
    <t>794</t>
  </si>
  <si>
    <t>пгт. Федоровский, ул. Ленина, д. 5А</t>
  </si>
  <si>
    <t>795</t>
  </si>
  <si>
    <t>пгт. Федоровский, ул. Ломоносова, д. 16</t>
  </si>
  <si>
    <t>796</t>
  </si>
  <si>
    <t>пгт. Федоровский, ул. Ломоносова, д. 18</t>
  </si>
  <si>
    <t>797</t>
  </si>
  <si>
    <t>пгт. Федоровский, ул. Ломоносова, д. 20</t>
  </si>
  <si>
    <t>798</t>
  </si>
  <si>
    <t>пгт. Федоровский, ул. Московская, д. 13</t>
  </si>
  <si>
    <t>799</t>
  </si>
  <si>
    <t>пгт. Федоровский, ул. Московская, д. 15А</t>
  </si>
  <si>
    <t>800</t>
  </si>
  <si>
    <t>пгт. Федоровский, ул. Моховая, д. 11</t>
  </si>
  <si>
    <t>801</t>
  </si>
  <si>
    <t>пгт. Федоровский, ул. Пионерная, д. 31А</t>
  </si>
  <si>
    <t>802</t>
  </si>
  <si>
    <t>пгт. Федоровский, ул. Пионерная, д. 38А</t>
  </si>
  <si>
    <t>803</t>
  </si>
  <si>
    <t>пгт. Федоровский, ул. Пионерная, д. 61</t>
  </si>
  <si>
    <t>804</t>
  </si>
  <si>
    <t>пгт. Федоровский, ул. Савуйская, д. 7</t>
  </si>
  <si>
    <t>805</t>
  </si>
  <si>
    <t>пгт. Федоровский, ул. Строителей, д. 21</t>
  </si>
  <si>
    <t>806</t>
  </si>
  <si>
    <t>пгт. Федоровский, ул. Строителей, д. 23</t>
  </si>
  <si>
    <t>807</t>
  </si>
  <si>
    <t>пгт. Федоровский, ул. Строителей, д. 27</t>
  </si>
  <si>
    <t>808</t>
  </si>
  <si>
    <t>пгт. Федоровский, ул. Федорова, д. 1</t>
  </si>
  <si>
    <t>809</t>
  </si>
  <si>
    <t>пгт. Федоровский, ул. Федорова, д. 3Б</t>
  </si>
  <si>
    <t>810</t>
  </si>
  <si>
    <t>пгт. Федоровский, ул. Федорова, д. 7А</t>
  </si>
  <si>
    <t>811</t>
  </si>
  <si>
    <t>с. Локосово, ул. Балуева, д. 26</t>
  </si>
  <si>
    <t>812</t>
  </si>
  <si>
    <t>с. Локосово, ул. Заводская, д. 3, корп. 2</t>
  </si>
  <si>
    <t>813</t>
  </si>
  <si>
    <t>с. Локосово, ул. Заводская, д. 5</t>
  </si>
  <si>
    <t>Итого по Сургутскому муниципальному району на 2023 год</t>
  </si>
  <si>
    <t>Городской округ Урай</t>
  </si>
  <si>
    <t>814</t>
  </si>
  <si>
    <t>г. Урай, мкр. 1А, д. 76</t>
  </si>
  <si>
    <t>815</t>
  </si>
  <si>
    <t>г. Урай, мкр. 1А, д. 80</t>
  </si>
  <si>
    <t>816</t>
  </si>
  <si>
    <t>г. Урай, мкр. 2, д. 102</t>
  </si>
  <si>
    <t>817</t>
  </si>
  <si>
    <t>г. Урай, мкр. 2, д. 103</t>
  </si>
  <si>
    <t>818</t>
  </si>
  <si>
    <t>г. Урай, мкр. 2, д. 29</t>
  </si>
  <si>
    <t>819</t>
  </si>
  <si>
    <t>г. Урай, мкр. 2, д. 31</t>
  </si>
  <si>
    <t>820</t>
  </si>
  <si>
    <t>г. Урай, мкр. 2, д. 33</t>
  </si>
  <si>
    <t>821</t>
  </si>
  <si>
    <t>г. Урай, мкр. 2, д. 34</t>
  </si>
  <si>
    <t>822</t>
  </si>
  <si>
    <t>г. Урай, мкр. 2, д. 39</t>
  </si>
  <si>
    <t>823</t>
  </si>
  <si>
    <t>г. Урай, мкр. 2, д. 55</t>
  </si>
  <si>
    <t>824</t>
  </si>
  <si>
    <t>г. Урай, мкр. 3, д. 10</t>
  </si>
  <si>
    <t>825</t>
  </si>
  <si>
    <t>г. Урай, мкр. 3, д. 11</t>
  </si>
  <si>
    <t>826</t>
  </si>
  <si>
    <t>г. Урай, мкр. 3, д. 17</t>
  </si>
  <si>
    <t>827</t>
  </si>
  <si>
    <t>г. Урай, мкр. 3, д. 21</t>
  </si>
  <si>
    <t>828</t>
  </si>
  <si>
    <t>г. Урай, мкр. 3, д. 3</t>
  </si>
  <si>
    <t>829</t>
  </si>
  <si>
    <t>г. Урай, мкр. 3, д. 31</t>
  </si>
  <si>
    <t>830</t>
  </si>
  <si>
    <t>г. Урай, мкр. 3, д. 6А</t>
  </si>
  <si>
    <t>831</t>
  </si>
  <si>
    <t>г. Урай, мкр. 3, д. 7</t>
  </si>
  <si>
    <t>832</t>
  </si>
  <si>
    <t>г. Урай, мкр. 3, д. 8</t>
  </si>
  <si>
    <t>833</t>
  </si>
  <si>
    <t>г. Урай, мкр. 3, д. 9</t>
  </si>
  <si>
    <t>834</t>
  </si>
  <si>
    <t>г. Урай, мкр. Западный, д. 19</t>
  </si>
  <si>
    <t>Итого по городскому округу Урай на 2023 год</t>
  </si>
  <si>
    <t xml:space="preserve">Городской округ Ханты-Мансийск </t>
  </si>
  <si>
    <t>835</t>
  </si>
  <si>
    <t>г. Ханты-Мансийск, ул. Бориса Щербины, д. 7</t>
  </si>
  <si>
    <t>836</t>
  </si>
  <si>
    <t>г. Ханты-Мансийск, ул. Водопроводная, д. 35</t>
  </si>
  <si>
    <t>837</t>
  </si>
  <si>
    <t>г. Ханты-Мансийск, ул. Гагарина, д. 65</t>
  </si>
  <si>
    <t>838</t>
  </si>
  <si>
    <t>г. Ханты-Мансийск, ул. Дзержинского, д. 30</t>
  </si>
  <si>
    <t>839</t>
  </si>
  <si>
    <t>г. Ханты-Мансийск, ул. Дзержинского, д. 41А</t>
  </si>
  <si>
    <t>840</t>
  </si>
  <si>
    <t>г. Ханты-Мансийск, ул. Доронина, д. 28</t>
  </si>
  <si>
    <t>841</t>
  </si>
  <si>
    <t>г. Ханты-Мансийск, ул. Доронина, д. 30</t>
  </si>
  <si>
    <t>842</t>
  </si>
  <si>
    <t>г. Ханты-Мансийск, ул. Заводская, д. 8А</t>
  </si>
  <si>
    <t>843</t>
  </si>
  <si>
    <t>г. Ханты-Мансийск, ул. Калинина, д. 18</t>
  </si>
  <si>
    <t>844</t>
  </si>
  <si>
    <t>г. Ханты-Мансийск, ул. Калинина, д. 22А</t>
  </si>
  <si>
    <t>845</t>
  </si>
  <si>
    <t>г. Ханты-Мансийск, ул. Кирова, д. 35</t>
  </si>
  <si>
    <t>846</t>
  </si>
  <si>
    <t>г. Ханты-Мансийск, ул. Комсомольская, д. 29</t>
  </si>
  <si>
    <t>847</t>
  </si>
  <si>
    <t>г. Ханты-Мансийск, ул. Красноармейская, д. 27</t>
  </si>
  <si>
    <t>848</t>
  </si>
  <si>
    <t>г. Ханты-Мансийск, ул. Красноармейская, д. 4</t>
  </si>
  <si>
    <t>849</t>
  </si>
  <si>
    <t>г. Ханты-Мансийск, ул. Крупской, д. 21</t>
  </si>
  <si>
    <t>850</t>
  </si>
  <si>
    <t>г. Ханты-Мансийск, ул. Ленина, д. 64</t>
  </si>
  <si>
    <t>851</t>
  </si>
  <si>
    <t>г. Ханты-Мансийск, ул. Маяковского, д. 7</t>
  </si>
  <si>
    <t>852</t>
  </si>
  <si>
    <t>г. Ханты-Мансийск, ул. Маяковского, д. 9</t>
  </si>
  <si>
    <t>853</t>
  </si>
  <si>
    <t>г. Ханты-Мансийск, ул. Менделеева, д. 3</t>
  </si>
  <si>
    <t>854</t>
  </si>
  <si>
    <t>г. Ханты-Мансийск, ул. Мира, д. 127А</t>
  </si>
  <si>
    <t>855</t>
  </si>
  <si>
    <t>г. Ханты-Мансийск, ул. Мира, д. 41</t>
  </si>
  <si>
    <t>856</t>
  </si>
  <si>
    <t>г. Ханты-Мансийск, ул. Мира, д. 51</t>
  </si>
  <si>
    <t>857</t>
  </si>
  <si>
    <t>г. Ханты-Мансийск, ул. Мира, д. 52А</t>
  </si>
  <si>
    <t>858</t>
  </si>
  <si>
    <t>г. Ханты-Мансийск, ул. Мира, д. 68</t>
  </si>
  <si>
    <t>859</t>
  </si>
  <si>
    <t>г. Ханты-Мансийск, ул. Молодежная, д. 3</t>
  </si>
  <si>
    <t>860</t>
  </si>
  <si>
    <t>г. Ханты-Мансийск, ул. Молодежная, д. 5</t>
  </si>
  <si>
    <t>861</t>
  </si>
  <si>
    <t>г. Ханты-Мансийск, ул. Молодежная, д. 7</t>
  </si>
  <si>
    <t>862</t>
  </si>
  <si>
    <t>г. Ханты-Мансийск, ул. Объездная, д. 10</t>
  </si>
  <si>
    <t>863</t>
  </si>
  <si>
    <t>г. Ханты-Мансийск, ул. Осенняя, д. 3</t>
  </si>
  <si>
    <t>864</t>
  </si>
  <si>
    <t>г. Ханты-Мансийск, ул. Пионерская, д. 115</t>
  </si>
  <si>
    <t>865</t>
  </si>
  <si>
    <t>г. Ханты-Мансийск, ул. Пионерская, д. 25</t>
  </si>
  <si>
    <t>866</t>
  </si>
  <si>
    <t>г. Ханты-Мансийск, ул. Посадская, д. 6</t>
  </si>
  <si>
    <t>867</t>
  </si>
  <si>
    <t>г. Ханты-Мансийск, ул. Рознина, д. 124</t>
  </si>
  <si>
    <t>868</t>
  </si>
  <si>
    <t>г. Ханты-Мансийск, ул. Рознина, д. 46</t>
  </si>
  <si>
    <t>869</t>
  </si>
  <si>
    <t>г. Ханты-Мансийск, ул. Свободы, д. 28</t>
  </si>
  <si>
    <t>870</t>
  </si>
  <si>
    <t>г. Ханты-Мансийск, ул. Собянина, д. 5</t>
  </si>
  <si>
    <t>871</t>
  </si>
  <si>
    <t>г. Ханты-Мансийск, ул. Чехова, д. 19</t>
  </si>
  <si>
    <t>872</t>
  </si>
  <si>
    <t>г. Ханты-Мансийск, ул. Чехова, д. 43</t>
  </si>
  <si>
    <t>873</t>
  </si>
  <si>
    <t>г. Ханты-Мансийск, ул. Чехова, д. 45</t>
  </si>
  <si>
    <t>874</t>
  </si>
  <si>
    <t>г. Ханты-Мансийск, ул. Чехова, д. 49</t>
  </si>
  <si>
    <t>875</t>
  </si>
  <si>
    <t>г. Ханты-Мансийск, ул. Чехова, д. 62А</t>
  </si>
  <si>
    <t>876</t>
  </si>
  <si>
    <t>г. Ханты-Мансийск, ул. Шевченко, д. 19</t>
  </si>
  <si>
    <t>877</t>
  </si>
  <si>
    <t>г. Ханты-Мансийск, ул. Шевченко, д. 36А</t>
  </si>
  <si>
    <t>878</t>
  </si>
  <si>
    <t>г. Ханты-Мансийск, ул. Югорская, д. 6</t>
  </si>
  <si>
    <t>879</t>
  </si>
  <si>
    <t>г. Ханты-Мансийск, ул. Ямская, д. 1</t>
  </si>
  <si>
    <t>880</t>
  </si>
  <si>
    <t>г. Ханты-Мансийск, ул. Ямская, д. 1/1</t>
  </si>
  <si>
    <t>881</t>
  </si>
  <si>
    <t>г. Ханты-Мансийск, ул. Ямская, д. 3</t>
  </si>
  <si>
    <t>882</t>
  </si>
  <si>
    <t>г. Ханты-Мансийск, ул. Ямская, д. 3/1</t>
  </si>
  <si>
    <t>883</t>
  </si>
  <si>
    <t>г. Ханты-Мансийск, ул. Ямская, д. 5</t>
  </si>
  <si>
    <t>Итого по городскому округу Ханты-Мансийск на 2023 год</t>
  </si>
  <si>
    <t>Городской округ Югорск</t>
  </si>
  <si>
    <t>884</t>
  </si>
  <si>
    <t>г. Югорск, ул. Газовиков, д. 2</t>
  </si>
  <si>
    <t>885</t>
  </si>
  <si>
    <t>г. Югорск, ул. Газовиков, д. 3</t>
  </si>
  <si>
    <t>886</t>
  </si>
  <si>
    <t>г. Югорск, ул. Газовиков, д. 4</t>
  </si>
  <si>
    <t>887</t>
  </si>
  <si>
    <t>г. Югорск, ул. Гастелло, д. 7А</t>
  </si>
  <si>
    <t>888</t>
  </si>
  <si>
    <t>г. Югорск, ул. Декабристов, д. 6А</t>
  </si>
  <si>
    <t>889</t>
  </si>
  <si>
    <t>г. Югорск, ул. Ермака, д. 5</t>
  </si>
  <si>
    <t>890</t>
  </si>
  <si>
    <t>г. Югорск, ул. Железнодорожная, д. 37</t>
  </si>
  <si>
    <t>891</t>
  </si>
  <si>
    <t>г. Югорск, ул. Железнодорожная, д. 49</t>
  </si>
  <si>
    <t>892</t>
  </si>
  <si>
    <t>г. Югорск, ул. Калинина, д. 23, корп. 1</t>
  </si>
  <si>
    <t>893</t>
  </si>
  <si>
    <t>г. Югорск, ул. Кирова, д. 10</t>
  </si>
  <si>
    <t>894</t>
  </si>
  <si>
    <t>г. Югорск, ул. Ленина, д. 14</t>
  </si>
  <si>
    <t>895</t>
  </si>
  <si>
    <t>г. Югорск, ул. Механизаторов, д. 12</t>
  </si>
  <si>
    <t>896</t>
  </si>
  <si>
    <t>г. Югорск, ул. Механизаторов, д. 24</t>
  </si>
  <si>
    <t>897</t>
  </si>
  <si>
    <t>г. Югорск, ул. Механизаторов, д. 7</t>
  </si>
  <si>
    <t>898</t>
  </si>
  <si>
    <t>г. Югорск, ул. Мира, д. 18</t>
  </si>
  <si>
    <t>899</t>
  </si>
  <si>
    <t>г. Югорск, ул. Мира, д. 18, корп. 3</t>
  </si>
  <si>
    <t>900</t>
  </si>
  <si>
    <t>г. Югорск, ул. Мира, д. 57</t>
  </si>
  <si>
    <t>901</t>
  </si>
  <si>
    <t>г. Югорск, ул. Мира, д. 9</t>
  </si>
  <si>
    <t>902</t>
  </si>
  <si>
    <t>г. Югорск, ул. Никольская, д. 3</t>
  </si>
  <si>
    <t>903</t>
  </si>
  <si>
    <t>г. Югорск, ул. Свердлова, д. 1</t>
  </si>
  <si>
    <t>904</t>
  </si>
  <si>
    <t>г. Югорск, ул. Свердлова, д. 3</t>
  </si>
  <si>
    <t>905</t>
  </si>
  <si>
    <t>г. Югорск, ул. Свердлова, д. 4</t>
  </si>
  <si>
    <t>906</t>
  </si>
  <si>
    <t>г. Югорск, ул. Свердлова, д. 6</t>
  </si>
  <si>
    <t>907</t>
  </si>
  <si>
    <t>г. Югорск, ул. Свердлова, д. 8</t>
  </si>
  <si>
    <t>908</t>
  </si>
  <si>
    <t>г. Югорск, ул. Спортивная, д. 15</t>
  </si>
  <si>
    <t>909</t>
  </si>
  <si>
    <t>г. Югорск, ул. Студенческая, д. 18</t>
  </si>
  <si>
    <t>910</t>
  </si>
  <si>
    <t>г. Югорск, ул. Студенческая, д. 20</t>
  </si>
  <si>
    <t>911</t>
  </si>
  <si>
    <t>г. Югорск, ул. Таежная, д. 16, корп. 2</t>
  </si>
  <si>
    <t>912</t>
  </si>
  <si>
    <t>г. Югорск, ул. Толстого, д. 2</t>
  </si>
  <si>
    <t>913</t>
  </si>
  <si>
    <t>г. Югорск, ул. Толстого, д. 4</t>
  </si>
  <si>
    <t>914</t>
  </si>
  <si>
    <t>г. Югорск, ул. Толстого, д. 6</t>
  </si>
  <si>
    <t>915</t>
  </si>
  <si>
    <t>г. Югорск, ул. Толстого, д. 12</t>
  </si>
  <si>
    <t>г. Югорск, ул. Титова, д. 9</t>
  </si>
  <si>
    <t>2024 год</t>
  </si>
  <si>
    <t>мансардная</t>
  </si>
  <si>
    <t>г. Когалым, ул. Градостроителей, д. 20</t>
  </si>
  <si>
    <t>г. Когалым, ул. Мира, д. 2</t>
  </si>
  <si>
    <t>г. Лангепас, ул. Ленина, д. 37</t>
  </si>
  <si>
    <t>г. Мегион, ул. Нефтяников, д. 1*</t>
  </si>
  <si>
    <t>Итого по городскому округу Мегион на 2024 году</t>
  </si>
  <si>
    <t>г. Нефтеюганск, мкр. 14-й, д. 12</t>
  </si>
  <si>
    <t>г. Нефтеюганск, мкр. 14-й, д. 18</t>
  </si>
  <si>
    <t>г. Нефтеюганск, мкр. 14-й, д. 23</t>
  </si>
  <si>
    <t>г. Нефтеюганск, мкр. 15-й, д. 4</t>
  </si>
  <si>
    <t>г. Нефтеюганск, мкр. 3-й, д. 7</t>
  </si>
  <si>
    <t>г. Нефтеюганск, ул. Киевская, д. 14/1</t>
  </si>
  <si>
    <t>г. Нижневартовск, ул. Дзержинского, д. 33</t>
  </si>
  <si>
    <t>г. Нижневартовск, ул. Северная, д. 6А</t>
  </si>
  <si>
    <t>г. Нягань, мкр. 1-й, д. 50</t>
  </si>
  <si>
    <t>г. Нягань, мкр. 2-й, д. 50</t>
  </si>
  <si>
    <t>г. Нягань, мкр. 4-й, д. 10</t>
  </si>
  <si>
    <t>г. Нягань, ул. Интернациональная, д. 139*</t>
  </si>
  <si>
    <t>пгт. Талинка, мкр. 2,  д. 2</t>
  </si>
  <si>
    <t>г. Сургут, пр-кт. Ленина, д. 61/1</t>
  </si>
  <si>
    <t>г. Сургут, пр-кт. Мира, д. 35, корп. 1</t>
  </si>
  <si>
    <t>г. Сургут, пр-кт. Мира, д. 35, корп. 2</t>
  </si>
  <si>
    <t>г. Сургут, проезд Первопроходцев, д. 11/1</t>
  </si>
  <si>
    <t>г. Сургут, ул. 30 лет Победы, д. 56/1*</t>
  </si>
  <si>
    <t>г. Сургут, ул. Генерала Иванова, д. 7</t>
  </si>
  <si>
    <t>г. Сургут, ул. Мелик-Карамова, д. 25</t>
  </si>
  <si>
    <t>г. Сургут, ул. Нефтяников, д. 2*</t>
  </si>
  <si>
    <t>г. Сургут, ул. Островского, д. 30А</t>
  </si>
  <si>
    <t>г. Сургут, ул. Привокзальная, д. 24</t>
  </si>
  <si>
    <t>г. Сургут, ул. Пушкина, д. 8/2</t>
  </si>
  <si>
    <t>пгт. Федоровский, ул. Ломоносова, д. 2</t>
  </si>
  <si>
    <t>пгт. Федоровский, ул. Савуйская, д. 21</t>
  </si>
  <si>
    <t>г. Урай, мкр. 3-й, д. 55</t>
  </si>
  <si>
    <t>Мансардная</t>
  </si>
  <si>
    <t>Итого по городскому округу Урай на 2024 год</t>
  </si>
  <si>
    <t>Городской округ Ханты-Мансийск</t>
  </si>
  <si>
    <t>г. Ханты-Мансийск, ул. Красноармейская, д. 24</t>
  </si>
  <si>
    <t>г. Ханты-Мансийск, ул. Свердлова, д. 26</t>
  </si>
  <si>
    <t>Итого по городскому округу Ханты-Мансийск на 2024 год</t>
  </si>
  <si>
    <t>г. Югорск, ул. Мира, д. 56А</t>
  </si>
  <si>
    <t>г. Югорск, ул. Таежная, д. 16, корп. 1*</t>
  </si>
  <si>
    <t>Итого по городскому округу Югорск на 2024 год</t>
  </si>
  <si>
    <t>2025 год</t>
  </si>
  <si>
    <t>Итого по Белоярскому муниципальному району на 2025 год</t>
  </si>
  <si>
    <t>Итого по городскому округу Когалым на 2025 год</t>
  </si>
  <si>
    <t>Итого по Кондинскому муниципальному району на 2025 год</t>
  </si>
  <si>
    <t>г. Лангепас, ул. Мира, д. 5</t>
  </si>
  <si>
    <t>Итого по городскому округу Лангепас на 2025 год</t>
  </si>
  <si>
    <t>г. Мегион, ул. А.М.Кузьмина, д. 30</t>
  </si>
  <si>
    <t>г. Мегион, ул. А.М.Кузьмина, д. 32</t>
  </si>
  <si>
    <t>Итого по городскому округу Мегион на 2025 год</t>
  </si>
  <si>
    <t>г. Нефтеюганск, мкр. 13-й, д. 15*</t>
  </si>
  <si>
    <t>г. Нефтеюганск, мкр. 14-й, д. 30</t>
  </si>
  <si>
    <t>г. Нефтеюганск, мкр. 14-й, д. 32</t>
  </si>
  <si>
    <t>г. Нефтеюганск, мкр. 7-й, д. 50</t>
  </si>
  <si>
    <t>г. Нефтеюганск, мкр. 9-й, д. 11</t>
  </si>
  <si>
    <t>Итого по городскому округу Нефтеюганск на 2025 год</t>
  </si>
  <si>
    <t>п. Сентябрьский, д. 19</t>
  </si>
  <si>
    <t>Итого по Нефтеюганскому муниципальному району на 2025 год</t>
  </si>
  <si>
    <t>г. Нижневартовск, пр-кт. Победы, д. 3</t>
  </si>
  <si>
    <t>г. Нижневартовск, ул. 60 лет Октября, д. 10</t>
  </si>
  <si>
    <t>г. Нижневартовск, ул. 60 лет Октября, д. 11</t>
  </si>
  <si>
    <t>г. Нижневартовск, ул. 60 лет Октября, д. 4</t>
  </si>
  <si>
    <t>г. Нижневартовск, ул. 60 лет Октября, д. 42</t>
  </si>
  <si>
    <t>г. Нижневартовск, ул. 60 лет Октября, д. 44</t>
  </si>
  <si>
    <t>г. Нижневартовск, ул. 60 лет Октября, д. 46</t>
  </si>
  <si>
    <t>г. Нижневартовск, ул. 60 лет Октября, д. 47</t>
  </si>
  <si>
    <t>г. Нижневартовск, ул. 60 лет Октября, д. 55</t>
  </si>
  <si>
    <t>г. Нижневартовск, ул. 60 лет Октября, д. 57</t>
  </si>
  <si>
    <t>г. Нижневартовск, ул. 60 лет Октября, д. 59</t>
  </si>
  <si>
    <t>г. Нижневартовск, ул. 60 лет Октября, д. 6</t>
  </si>
  <si>
    <t>г. Нижневартовск, ул. 60 лет Октября, д. 70</t>
  </si>
  <si>
    <t>г. Нижневартовск, ул. 60 лет Октября, д. 72</t>
  </si>
  <si>
    <t>г. Нижневартовск, ул. 60 лет Октября, д. 74</t>
  </si>
  <si>
    <t>г. Нижневартовск, ул. 60 лет Октября, д. 8</t>
  </si>
  <si>
    <t>г. Нижневартовск, ул. 60 лет Октября, д. 84</t>
  </si>
  <si>
    <t>г. Нижневартовск, ул. 60 лет Октября, д. 86</t>
  </si>
  <si>
    <t>г. Нижневартовск, ул. 60 лет Октября, д. 88</t>
  </si>
  <si>
    <t>г. Нижневартовск, ул. 60 лет Октября, д. 90</t>
  </si>
  <si>
    <t>г. Нижневартовск, ул. Дружбы Народов, д. 16</t>
  </si>
  <si>
    <t>г. Нижневартовск, ул. Интернациональная, д. 13</t>
  </si>
  <si>
    <t>г. Нижневартовск, ул. Интернациональная, д. 37</t>
  </si>
  <si>
    <t>г. Нижневартовск, ул. Интернациональная, д. 49, корп. 1</t>
  </si>
  <si>
    <t>г. Нижневартовск, ул. Интернациональная, д. 49, корп. 2</t>
  </si>
  <si>
    <t>г. Нижневартовск, ул. Интернациональная, д. 49, корп. 3</t>
  </si>
  <si>
    <t>г. Нижневартовск, ул. Интернациональная, д. 51</t>
  </si>
  <si>
    <t>г. Нижневартовск, ул. Ленина, д. 11, корп. 1</t>
  </si>
  <si>
    <t>г. Нижневартовск, ул. Ленина, д. 27</t>
  </si>
  <si>
    <t>г. Нижневартовск, ул. Ленина, д. 29б</t>
  </si>
  <si>
    <t>г. Нижневартовск, ул. Ленина, д. 36</t>
  </si>
  <si>
    <t>г. Нижневартовск, ул. Ленина, д. 38</t>
  </si>
  <si>
    <t>г. Нижневартовск, ул. Ленина, д. 7, корп. 2*</t>
  </si>
  <si>
    <t>г. Нижневартовск, ул. Ленина, д. 9, корп. 1</t>
  </si>
  <si>
    <t>г. Нижневартовск, ул. Ленина, д. 9, корп. 2</t>
  </si>
  <si>
    <t>г. Нижневартовск, ул. Маршала Жукова, д. 14</t>
  </si>
  <si>
    <t>г. Нижневартовск, ул. Маршала Жукова, д. 40</t>
  </si>
  <si>
    <t>г. Нижневартовск, ул. Маршала Жукова, д. 40А</t>
  </si>
  <si>
    <t>г. Нижневартовск, ул. Мира, д. 25</t>
  </si>
  <si>
    <t>г. Нижневартовск, ул. Мира, д. 31</t>
  </si>
  <si>
    <t>г. Нижневартовск, ул. Мира, д. 31, корп. 1</t>
  </si>
  <si>
    <t>г. Нижневартовск, ул. Мира, д. 31, корп. 2</t>
  </si>
  <si>
    <t>г. Нижневартовск, ул. Мира, д. 31, корп. 3</t>
  </si>
  <si>
    <t>г. Нижневартовск, ул. Мира, д. 60, корп. 5</t>
  </si>
  <si>
    <t>г.Нижневартоск, ул. Осенняя, д.2А</t>
  </si>
  <si>
    <t>г. Нижневартовск, ул. Пермская, д. 13</t>
  </si>
  <si>
    <t>г. Нижневартовск, ул. Пермская, д. 15</t>
  </si>
  <si>
    <t>г. Нижневартовск, ул. Пермская, д. 21</t>
  </si>
  <si>
    <t>г. Нижневартовск, ул. Пермская, д. 9</t>
  </si>
  <si>
    <t>г. Нижневартовск, ул. Пионерская, д. 9</t>
  </si>
  <si>
    <t>г. Нижневартовск, ул. Северная, д. 12</t>
  </si>
  <si>
    <t>г. Нижневартовск, ул. Северная, д. 16</t>
  </si>
  <si>
    <t>г. Нижневартовск, ул. Северная, д. 28</t>
  </si>
  <si>
    <t>г. Нижневартовск, ул. Северная, д. 70</t>
  </si>
  <si>
    <t>г. Нижневартовск, ул. Северная, д. 72</t>
  </si>
  <si>
    <t>г. Нижневартовск, ул. Спортивная, д. 13, корп. 1</t>
  </si>
  <si>
    <t>г. Нижневартовск, ул. Спортивная, д. 13, корп. 3</t>
  </si>
  <si>
    <t>г. Нижневартовск, ул. Спортивная, д. 13, корп. 4</t>
  </si>
  <si>
    <t>г. Нижневартовск, ул. Ханты-Мансийская, д. 11</t>
  </si>
  <si>
    <t>г. Нижневартовск, ул. Ханты-Мансийская, д. 15</t>
  </si>
  <si>
    <t>г. Нижневартовск, ул. Ханты-Мансийская, д. 19</t>
  </si>
  <si>
    <t>г. Нижневартовск, ул. Ханты-Мансийская, д. 21, корп. 1</t>
  </si>
  <si>
    <t>г. Нижневартовск, ул. Ханты-Мансийская, д. 21, корп. 2</t>
  </si>
  <si>
    <t>г. Нижневартовск, ул. Ханты-Мансийская, д. 21, корп. 3</t>
  </si>
  <si>
    <t>г. Нижневартовск, ул. Ханты-Мансийская, д. 23</t>
  </si>
  <si>
    <t>г. Нижневартовск, ул. Ханты-Мансийская, д. 9</t>
  </si>
  <si>
    <t>г. Нижневартовск, ул. Чапаева, д. 15, корп. 2</t>
  </si>
  <si>
    <t>г. Нижневартовск, ул. Чапаева, д. 5</t>
  </si>
  <si>
    <t>г. Нижневартовск, ул. Чапаева, д. 85</t>
  </si>
  <si>
    <t>г. Нижневартовск, ул. Чапаева, д. 85Б</t>
  </si>
  <si>
    <t>г. Нижневартовск, ул. Чапаева, д. 87</t>
  </si>
  <si>
    <t>г. Нижневартовск, ул. Чапаева, д. 87А</t>
  </si>
  <si>
    <t>г. Нижневартовск, ул. Чапаева, д. 91</t>
  </si>
  <si>
    <t>г. Нижневартовск, ул. Чапаева, д. 93</t>
  </si>
  <si>
    <t>Итого по городскому округу Нижневартовск на 2025 год</t>
  </si>
  <si>
    <t>Итого по Нижневартовскому муниципальному району на 2025 год</t>
  </si>
  <si>
    <t>г. Нягань, ул. Интернациональная, д.143*</t>
  </si>
  <si>
    <t>Итого по городскому округу Няган на 2025 год</t>
  </si>
  <si>
    <t>Итого по городскому округу Покачи на 2025 год</t>
  </si>
  <si>
    <t>г. Пыть-Ях, мкр 2-й Нефтяников, д. 25</t>
  </si>
  <si>
    <t>г. Пыть-Ях, мкр 4-й Молодежный, д. 15*</t>
  </si>
  <si>
    <t>г. Пыть-Ях, мкр. 5-й Солнечный, д. 10/2</t>
  </si>
  <si>
    <t>г. Пыть-Ях, мкр. 5-й Солнечный, д. 20</t>
  </si>
  <si>
    <t>Итого по городскому округу Пыть-Ях на 2025 год</t>
  </si>
  <si>
    <t>Итого по городскому округу Радужный на 2025 год</t>
  </si>
  <si>
    <t>Итого по Советскому муниципальному району на 2025 год</t>
  </si>
  <si>
    <t>г. Сургут, пр-кт. Ленина, д. 30*</t>
  </si>
  <si>
    <t>г. Сургут, пр-кт. Ленина, д. 33</t>
  </si>
  <si>
    <t>г. Сургут, пр-кт. Ленина, д. 34</t>
  </si>
  <si>
    <t>г. Сургут, ул. 30 лет Победы, д. 44/4*</t>
  </si>
  <si>
    <t>г. Сургут, ул. 50 лет ВЛКСМ, д. 6Б</t>
  </si>
  <si>
    <t>г. Сургут, ул. Мелик-Карамова, д. 60</t>
  </si>
  <si>
    <t>г. Сургут, ул. Пушкина, д. 16</t>
  </si>
  <si>
    <t>г. Сургут, ул. Республики, д. 69</t>
  </si>
  <si>
    <t>г. Сургут, ул. Федорова, д. 65</t>
  </si>
  <si>
    <t>г. Сургут, ул. Энергетиков, д. 33</t>
  </si>
  <si>
    <t>г. Сургут, ул. Энергетиков, д. 7</t>
  </si>
  <si>
    <t>г. Сургут, ул. Югорская, д. 12/4</t>
  </si>
  <si>
    <t>г. Сургут, ул. Югорская, д. 7</t>
  </si>
  <si>
    <t>Итого по городскому округу Сургут на 2025 год</t>
  </si>
  <si>
    <t>пгт.Белый Яр, ул. Есенина, д.41</t>
  </si>
  <si>
    <t>пгт. Белый Яр, ул. Некрасова, д. 1а</t>
  </si>
  <si>
    <t>Итого по Сургутскому муниципальному району на 2025 год</t>
  </si>
  <si>
    <t>Итого по городскому округу Урай на 2025 год</t>
  </si>
  <si>
    <t>г. Ханты-Мансийск, ул. А. А. Дунина-Горкавича, д. 5</t>
  </si>
  <si>
    <t>г. Ханты-Мансийск, ул. Карла-Маркса, д. 28</t>
  </si>
  <si>
    <t>г. Ханты-Мансийск, ул. Мира, д. 52</t>
  </si>
  <si>
    <t>г. Ханты-Мансийск, ул. Уральская, д. 5</t>
  </si>
  <si>
    <t>г. Ханты-Мансийск, ул. Энгельса, д. 45</t>
  </si>
  <si>
    <t>Итого по городу Ханты - Мансийск на 2025 год</t>
  </si>
  <si>
    <t>Итого по городскому округу Югорск на 2025 год</t>
  </si>
  <si>
    <t>г. Нефтеюганск, мкр. 11-й, д. 32*</t>
  </si>
  <si>
    <t>г.Сургут, ул. 30 лет Победы, д.54*</t>
  </si>
  <si>
    <t>647</t>
  </si>
  <si>
    <t>г. Нефтеюганск, ул. Парковая, д. 1</t>
  </si>
  <si>
    <t>г. Лангепас, ул. Парковая, д. 13</t>
  </si>
  <si>
    <t>Всего по автономному округу на 2023 год</t>
  </si>
  <si>
    <t>Всего по автономному округу на 2024 год</t>
  </si>
  <si>
    <t>Всего по автономному округу на 2025 год</t>
  </si>
  <si>
    <t>Итого по городскому округу Югорск на 2023 год</t>
  </si>
  <si>
    <t>Итого по Белоярскому муниципальному району на 2024 год</t>
  </si>
  <si>
    <t>Итого по городскому округу Когалым  на 2024 год</t>
  </si>
  <si>
    <t>Итого по Кондинскому муниципальному району на 2024 год</t>
  </si>
  <si>
    <t>Итого по городскому округу Лангепас  на 2024 год</t>
  </si>
  <si>
    <t>Итого по городскому округу Нефтеюганск на 2024 год</t>
  </si>
  <si>
    <t>Итого по Нефтеюганскому муниципальному району на 2024 год</t>
  </si>
  <si>
    <t>Итого по городскому округу Нижневартовск на 2024 год</t>
  </si>
  <si>
    <t>Итого по Нижневартовскому муниципальному району на 2024 год</t>
  </si>
  <si>
    <t>Итого по городскому округу Нягань на 2024 год</t>
  </si>
  <si>
    <t>Итого по Октябрьскому муниципальному району на 2024 год</t>
  </si>
  <si>
    <t>Итого по городскому округу Покачи на 2024 год</t>
  </si>
  <si>
    <t>Итого по городскому округу Пыть-Ях на 2024 год</t>
  </si>
  <si>
    <t>Итого по городскому округу Радужный на 2024 год</t>
  </si>
  <si>
    <t>Итого по Советскому муниципальному району на 2024 год</t>
  </si>
  <si>
    <t>Итого по городскому округу Сургут на 2024 год</t>
  </si>
  <si>
    <t>Итого по Сургутскому муниципальному району на 2024 год</t>
  </si>
  <si>
    <t>г. Пыть-Ях, мкр 2-й Нефтяников, д. 31</t>
  </si>
  <si>
    <t>г. Сургут, ул. Островского,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</si>
</sst>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#\ ###\ ###\ ##0.00"/>
    <numFmt numFmtId="166" formatCode="#,##0.00_р_."/>
    <numFmt numFmtId="167" formatCode="_-* #,##0.00_р_._-;\-* #,##0.00_р_._-;_-* &quot;-&quot;??_р_.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color rgb="FF222222"/>
      <name val="Arial"/>
      <family val="2"/>
      <charset val="204"/>
    </font>
    <font>
      <sz val="10"/>
      <color rgb="FF22222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0">
    <xf numFmtId="0" fontId="0" fillId="0" borderId="0"/>
    <xf numFmtId="0" fontId="4" fillId="0" borderId="0"/>
    <xf numFmtId="0" fontId="3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3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2" fillId="0" borderId="0"/>
    <xf numFmtId="0" fontId="12" fillId="0" borderId="0"/>
    <xf numFmtId="0" fontId="12" fillId="0" borderId="0"/>
    <xf numFmtId="167" fontId="15" fillId="0" borderId="0" applyFont="0" applyFill="0" applyBorder="0" applyAlignment="0" applyProtection="0"/>
    <xf numFmtId="0" fontId="14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167" fontId="13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4" fontId="17" fillId="0" borderId="0" xfId="0" applyNumberFormat="1" applyFont="1"/>
    <xf numFmtId="4" fontId="6" fillId="0" borderId="0" xfId="0" applyNumberFormat="1" applyFont="1"/>
    <xf numFmtId="4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17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49" fontId="20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left" wrapText="1"/>
    </xf>
    <xf numFmtId="4" fontId="6" fillId="0" borderId="1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wrapText="1"/>
    </xf>
    <xf numFmtId="4" fontId="9" fillId="0" borderId="1" xfId="0" applyNumberFormat="1" applyFont="1" applyBorder="1" applyAlignment="1">
      <alignment horizontal="right" wrapText="1"/>
    </xf>
    <xf numFmtId="4" fontId="10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9" fillId="0" borderId="0" xfId="0" applyFont="1"/>
    <xf numFmtId="49" fontId="11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wrapText="1"/>
    </xf>
    <xf numFmtId="3" fontId="11" fillId="0" borderId="1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4" fontId="16" fillId="0" borderId="1" xfId="0" applyNumberFormat="1" applyFont="1" applyBorder="1" applyAlignment="1">
      <alignment horizontal="right" vertical="center" wrapText="1"/>
    </xf>
    <xf numFmtId="4" fontId="3" fillId="0" borderId="0" xfId="2" applyNumberFormat="1"/>
    <xf numFmtId="0" fontId="5" fillId="0" borderId="0" xfId="0" applyFont="1" applyAlignment="1">
      <alignment vertical="center"/>
    </xf>
    <xf numFmtId="4" fontId="18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/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390">
    <cellStyle name="Обычный" xfId="0" builtinId="0"/>
    <cellStyle name="Обычный 10" xfId="18" xr:uid="{00000000-0005-0000-0000-000001000000}"/>
    <cellStyle name="Обычный 11" xfId="15" xr:uid="{00000000-0005-0000-0000-000002000000}"/>
    <cellStyle name="Обычный 12" xfId="25" xr:uid="{00000000-0005-0000-0000-000003000000}"/>
    <cellStyle name="Обычный 13" xfId="14" xr:uid="{00000000-0005-0000-0000-000004000000}"/>
    <cellStyle name="Обычный 13 2" xfId="29" xr:uid="{00000000-0005-0000-0000-000005000000}"/>
    <cellStyle name="Обычный 13 2 2" xfId="43" xr:uid="{00000000-0005-0000-0000-000006000000}"/>
    <cellStyle name="Обычный 13 2 2 2" xfId="67" xr:uid="{00000000-0005-0000-0000-000007000000}"/>
    <cellStyle name="Обычный 13 2 2 2 2" xfId="139" xr:uid="{00000000-0005-0000-0000-000008000000}"/>
    <cellStyle name="Обычный 13 2 2 2 2 2" xfId="287" xr:uid="{8189C60F-692B-4C8F-9F62-BB65F92DB441}"/>
    <cellStyle name="Обычный 13 2 2 2 3" xfId="215" xr:uid="{C458720D-66B2-4A05-B5E5-58644661A4FC}"/>
    <cellStyle name="Обычный 13 2 2 3" xfId="91" xr:uid="{00000000-0005-0000-0000-000009000000}"/>
    <cellStyle name="Обычный 13 2 2 3 2" xfId="163" xr:uid="{00000000-0005-0000-0000-00000A000000}"/>
    <cellStyle name="Обычный 13 2 2 3 2 2" xfId="311" xr:uid="{1BC7CA60-6F2A-4B1F-A018-CF741781B9A3}"/>
    <cellStyle name="Обычный 13 2 2 3 3" xfId="239" xr:uid="{202720F2-6281-4297-9A6C-99AC2B094217}"/>
    <cellStyle name="Обычный 13 2 2 4" xfId="115" xr:uid="{00000000-0005-0000-0000-00000B000000}"/>
    <cellStyle name="Обычный 13 2 2 4 2" xfId="263" xr:uid="{E865F00E-EA30-4E6D-BDC6-733B15C7DDF0}"/>
    <cellStyle name="Обычный 13 2 2 5" xfId="191" xr:uid="{E4D8893B-2A78-4F77-BB06-002CD185C77A}"/>
    <cellStyle name="Обычный 13 2 3" xfId="54" xr:uid="{00000000-0005-0000-0000-00000C000000}"/>
    <cellStyle name="Обычный 13 2 3 2" xfId="126" xr:uid="{00000000-0005-0000-0000-00000D000000}"/>
    <cellStyle name="Обычный 13 2 3 2 2" xfId="274" xr:uid="{45298CA2-021D-4F2F-BBA1-481F13E81191}"/>
    <cellStyle name="Обычный 13 2 3 3" xfId="202" xr:uid="{3029A96B-376E-4E79-8483-912FCA3AF5E1}"/>
    <cellStyle name="Обычный 13 2 4" xfId="78" xr:uid="{00000000-0005-0000-0000-00000E000000}"/>
    <cellStyle name="Обычный 13 2 4 2" xfId="150" xr:uid="{00000000-0005-0000-0000-00000F000000}"/>
    <cellStyle name="Обычный 13 2 4 2 2" xfId="298" xr:uid="{B1DBBA59-6408-4034-8906-F851FCA6F144}"/>
    <cellStyle name="Обычный 13 2 4 3" xfId="226" xr:uid="{9BC806A1-D48C-434F-A909-590FED22D091}"/>
    <cellStyle name="Обычный 13 2 5" xfId="102" xr:uid="{00000000-0005-0000-0000-000010000000}"/>
    <cellStyle name="Обычный 13 2 5 2" xfId="250" xr:uid="{28AA0BDE-2E77-4455-8DF1-4D250FDF29E3}"/>
    <cellStyle name="Обычный 13 2 6" xfId="178" xr:uid="{B6790E31-8660-49EF-850F-9FCB7CA3E984}"/>
    <cellStyle name="Обычный 13 3" xfId="38" xr:uid="{00000000-0005-0000-0000-000011000000}"/>
    <cellStyle name="Обычный 13 3 2" xfId="62" xr:uid="{00000000-0005-0000-0000-000012000000}"/>
    <cellStyle name="Обычный 13 3 2 2" xfId="134" xr:uid="{00000000-0005-0000-0000-000013000000}"/>
    <cellStyle name="Обычный 13 3 2 2 2" xfId="282" xr:uid="{1E99BD8D-AC16-4F1A-9191-6AD80BCB3031}"/>
    <cellStyle name="Обычный 13 3 2 3" xfId="210" xr:uid="{D32B4195-3A75-4CF6-8957-C87280267137}"/>
    <cellStyle name="Обычный 13 3 3" xfId="86" xr:uid="{00000000-0005-0000-0000-000014000000}"/>
    <cellStyle name="Обычный 13 3 3 2" xfId="158" xr:uid="{00000000-0005-0000-0000-000015000000}"/>
    <cellStyle name="Обычный 13 3 3 2 2" xfId="306" xr:uid="{726BB1E5-3926-4625-8FB7-971790EB3D71}"/>
    <cellStyle name="Обычный 13 3 3 3" xfId="234" xr:uid="{980E0F57-D2A5-4E34-9056-4D35FBAE0C11}"/>
    <cellStyle name="Обычный 13 3 4" xfId="110" xr:uid="{00000000-0005-0000-0000-000016000000}"/>
    <cellStyle name="Обычный 13 3 4 2" xfId="258" xr:uid="{33AA9550-9F90-4BD0-B3F5-D2304C010FBC}"/>
    <cellStyle name="Обычный 13 3 5" xfId="186" xr:uid="{CD3D2788-4608-458A-9BFB-51653839C097}"/>
    <cellStyle name="Обычный 13 4" xfId="49" xr:uid="{00000000-0005-0000-0000-000017000000}"/>
    <cellStyle name="Обычный 13 4 2" xfId="121" xr:uid="{00000000-0005-0000-0000-000018000000}"/>
    <cellStyle name="Обычный 13 4 2 2" xfId="269" xr:uid="{EB0E1CD4-8BDD-4591-AD1E-BEBFC0277F52}"/>
    <cellStyle name="Обычный 13 4 3" xfId="197" xr:uid="{EBBE076C-6B26-48EC-971D-F0A8C47356BB}"/>
    <cellStyle name="Обычный 13 5" xfId="73" xr:uid="{00000000-0005-0000-0000-000019000000}"/>
    <cellStyle name="Обычный 13 5 2" xfId="145" xr:uid="{00000000-0005-0000-0000-00001A000000}"/>
    <cellStyle name="Обычный 13 5 2 2" xfId="293" xr:uid="{E01A006A-EB35-46E5-B325-E285EB7471FD}"/>
    <cellStyle name="Обычный 13 5 3" xfId="221" xr:uid="{8523D913-9087-4686-BD9B-D1FB785E450D}"/>
    <cellStyle name="Обычный 13 6" xfId="97" xr:uid="{00000000-0005-0000-0000-00001B000000}"/>
    <cellStyle name="Обычный 13 6 2" xfId="245" xr:uid="{F1FBEA13-A5CE-40F3-8E9A-3D78683CDA69}"/>
    <cellStyle name="Обычный 13 7" xfId="173" xr:uid="{F9024022-C251-4ACE-9BE7-909DFADD8289}"/>
    <cellStyle name="Обычный 14" xfId="1" xr:uid="{00000000-0005-0000-0000-00001C000000}"/>
    <cellStyle name="Обычный 15" xfId="34" xr:uid="{00000000-0005-0000-0000-00001D000000}"/>
    <cellStyle name="Обычный 15 2" xfId="59" xr:uid="{00000000-0005-0000-0000-00001E000000}"/>
    <cellStyle name="Обычный 15 2 2" xfId="131" xr:uid="{00000000-0005-0000-0000-00001F000000}"/>
    <cellStyle name="Обычный 15 2 2 2" xfId="279" xr:uid="{AD9AAF7E-ACFB-4F69-B0D9-58A0D4C326E9}"/>
    <cellStyle name="Обычный 15 2 3" xfId="207" xr:uid="{8ACED78C-4A32-4E3A-83CB-55F2BD886C0D}"/>
    <cellStyle name="Обычный 15 3" xfId="83" xr:uid="{00000000-0005-0000-0000-000020000000}"/>
    <cellStyle name="Обычный 15 3 2" xfId="155" xr:uid="{00000000-0005-0000-0000-000021000000}"/>
    <cellStyle name="Обычный 15 3 2 2" xfId="303" xr:uid="{17573BA6-D1CD-4A01-8107-41BC71B085EC}"/>
    <cellStyle name="Обычный 15 3 3" xfId="231" xr:uid="{90BC82C9-D8A2-4447-B4B4-1421C379B49E}"/>
    <cellStyle name="Обычный 15 4" xfId="107" xr:uid="{00000000-0005-0000-0000-000022000000}"/>
    <cellStyle name="Обычный 15 4 2" xfId="255" xr:uid="{F2356C00-AF30-480A-BC04-FD688814EE5A}"/>
    <cellStyle name="Обычный 15 5" xfId="183" xr:uid="{20ED96F4-0579-46E3-8E53-A3885A981B2C}"/>
    <cellStyle name="Обычный 16" xfId="169" xr:uid="{35E813CA-6F85-4499-B2C2-7695CB28F171}"/>
    <cellStyle name="Обычный 17" xfId="168" xr:uid="{2E5E908E-E363-4ADF-8CD5-F740E582CDB6}"/>
    <cellStyle name="Обычный 2" xfId="5" xr:uid="{00000000-0005-0000-0000-000023000000}"/>
    <cellStyle name="Обычный 2 2" xfId="172" xr:uid="{B0356ED2-D929-4DEA-AAFD-DD5BE0E77220}"/>
    <cellStyle name="Обычный 2 3" xfId="170" xr:uid="{B07D95AC-313C-44A5-86E8-815A545D0810}"/>
    <cellStyle name="Обычный 3" xfId="12" xr:uid="{00000000-0005-0000-0000-000024000000}"/>
    <cellStyle name="Обычный 3 2" xfId="27" xr:uid="{00000000-0005-0000-0000-000025000000}"/>
    <cellStyle name="Обычный 3 3" xfId="16" xr:uid="{00000000-0005-0000-0000-000026000000}"/>
    <cellStyle name="Обычный 4" xfId="19" xr:uid="{00000000-0005-0000-0000-000027000000}"/>
    <cellStyle name="Обычный 4 2" xfId="21" xr:uid="{00000000-0005-0000-0000-000028000000}"/>
    <cellStyle name="Обычный 4 2 2" xfId="32" xr:uid="{00000000-0005-0000-0000-000029000000}"/>
    <cellStyle name="Обычный 4 2 2 2" xfId="46" xr:uid="{00000000-0005-0000-0000-00002A000000}"/>
    <cellStyle name="Обычный 4 2 2 2 2" xfId="70" xr:uid="{00000000-0005-0000-0000-00002B000000}"/>
    <cellStyle name="Обычный 4 2 2 2 2 2" xfId="142" xr:uid="{00000000-0005-0000-0000-00002C000000}"/>
    <cellStyle name="Обычный 4 2 2 2 2 2 2" xfId="290" xr:uid="{95BD5C57-C58D-4094-BF84-37FCF06E17D6}"/>
    <cellStyle name="Обычный 4 2 2 2 2 3" xfId="218" xr:uid="{EE3C3B70-824B-4E54-A5F4-2D233DB8B492}"/>
    <cellStyle name="Обычный 4 2 2 2 3" xfId="94" xr:uid="{00000000-0005-0000-0000-00002D000000}"/>
    <cellStyle name="Обычный 4 2 2 2 3 2" xfId="166" xr:uid="{00000000-0005-0000-0000-00002E000000}"/>
    <cellStyle name="Обычный 4 2 2 2 3 2 2" xfId="314" xr:uid="{7A2D7397-E777-4EB0-B555-A9D47FF79762}"/>
    <cellStyle name="Обычный 4 2 2 2 3 3" xfId="242" xr:uid="{9B98DA51-EECB-437C-8078-5603CF76A6B0}"/>
    <cellStyle name="Обычный 4 2 2 2 4" xfId="118" xr:uid="{00000000-0005-0000-0000-00002F000000}"/>
    <cellStyle name="Обычный 4 2 2 2 4 2" xfId="266" xr:uid="{7270CB52-766A-478A-A03D-E6A45F371471}"/>
    <cellStyle name="Обычный 4 2 2 2 5" xfId="194" xr:uid="{5BDF4C79-E9D0-4A28-BCF4-51387609D005}"/>
    <cellStyle name="Обычный 4 2 2 3" xfId="57" xr:uid="{00000000-0005-0000-0000-000030000000}"/>
    <cellStyle name="Обычный 4 2 2 3 2" xfId="129" xr:uid="{00000000-0005-0000-0000-000031000000}"/>
    <cellStyle name="Обычный 4 2 2 3 2 2" xfId="277" xr:uid="{8887F9ED-7626-403D-A6D2-30EE6D3A1F04}"/>
    <cellStyle name="Обычный 4 2 2 3 3" xfId="205" xr:uid="{2F75A6E6-CF51-411D-888C-E8D15C5160F1}"/>
    <cellStyle name="Обычный 4 2 2 4" xfId="81" xr:uid="{00000000-0005-0000-0000-000032000000}"/>
    <cellStyle name="Обычный 4 2 2 4 2" xfId="153" xr:uid="{00000000-0005-0000-0000-000033000000}"/>
    <cellStyle name="Обычный 4 2 2 4 2 2" xfId="301" xr:uid="{C238321F-2ECF-4071-BAC4-BC8C61820508}"/>
    <cellStyle name="Обычный 4 2 2 4 3" xfId="229" xr:uid="{6C78C0F9-3894-436E-9D7A-25B3EDB87F5C}"/>
    <cellStyle name="Обычный 4 2 2 5" xfId="105" xr:uid="{00000000-0005-0000-0000-000034000000}"/>
    <cellStyle name="Обычный 4 2 2 5 2" xfId="253" xr:uid="{B338B286-3206-4862-8ED6-0FD22F00172E}"/>
    <cellStyle name="Обычный 4 2 2 6" xfId="181" xr:uid="{97C138E6-9B5D-4A85-8CF4-D18214C928B4}"/>
    <cellStyle name="Обычный 4 2 3" xfId="41" xr:uid="{00000000-0005-0000-0000-000035000000}"/>
    <cellStyle name="Обычный 4 2 3 2" xfId="65" xr:uid="{00000000-0005-0000-0000-000036000000}"/>
    <cellStyle name="Обычный 4 2 3 2 2" xfId="137" xr:uid="{00000000-0005-0000-0000-000037000000}"/>
    <cellStyle name="Обычный 4 2 3 2 2 2" xfId="285" xr:uid="{224326F1-AB49-4EDA-9707-1AB3B4FC4482}"/>
    <cellStyle name="Обычный 4 2 3 2 3" xfId="213" xr:uid="{959D7DDF-7134-48D9-A694-113B75F06308}"/>
    <cellStyle name="Обычный 4 2 3 3" xfId="89" xr:uid="{00000000-0005-0000-0000-000038000000}"/>
    <cellStyle name="Обычный 4 2 3 3 2" xfId="161" xr:uid="{00000000-0005-0000-0000-000039000000}"/>
    <cellStyle name="Обычный 4 2 3 3 2 2" xfId="309" xr:uid="{3D3D7711-7C79-420A-9218-0B780B56966C}"/>
    <cellStyle name="Обычный 4 2 3 3 3" xfId="237" xr:uid="{00181A2D-BFA7-4810-949E-A14501F76067}"/>
    <cellStyle name="Обычный 4 2 3 4" xfId="113" xr:uid="{00000000-0005-0000-0000-00003A000000}"/>
    <cellStyle name="Обычный 4 2 3 4 2" xfId="261" xr:uid="{6D70981D-0702-4D23-BE88-5E1AEC856000}"/>
    <cellStyle name="Обычный 4 2 3 5" xfId="189" xr:uid="{D71ACA5D-9A44-441A-B373-0FC673B97FF4}"/>
    <cellStyle name="Обычный 4 2 4" xfId="52" xr:uid="{00000000-0005-0000-0000-00003B000000}"/>
    <cellStyle name="Обычный 4 2 4 2" xfId="124" xr:uid="{00000000-0005-0000-0000-00003C000000}"/>
    <cellStyle name="Обычный 4 2 4 2 2" xfId="272" xr:uid="{12EA0598-0D84-4F8C-832F-282E8B556276}"/>
    <cellStyle name="Обычный 4 2 4 3" xfId="200" xr:uid="{61D42AA1-A683-4723-99AD-F2E467B18086}"/>
    <cellStyle name="Обычный 4 2 5" xfId="76" xr:uid="{00000000-0005-0000-0000-00003D000000}"/>
    <cellStyle name="Обычный 4 2 5 2" xfId="148" xr:uid="{00000000-0005-0000-0000-00003E000000}"/>
    <cellStyle name="Обычный 4 2 5 2 2" xfId="296" xr:uid="{3BA1008C-EBF9-4196-8073-659118DF446F}"/>
    <cellStyle name="Обычный 4 2 5 3" xfId="224" xr:uid="{D4E16348-D71C-49F8-93FC-9AF8D80A7A54}"/>
    <cellStyle name="Обычный 4 2 6" xfId="100" xr:uid="{00000000-0005-0000-0000-00003F000000}"/>
    <cellStyle name="Обычный 4 2 6 2" xfId="248" xr:uid="{685A68AA-15C1-4CD2-BE44-61E5ABAE5DEE}"/>
    <cellStyle name="Обычный 4 2 7" xfId="176" xr:uid="{7ED568F9-6855-4CB4-ADFA-56897B04B883}"/>
    <cellStyle name="Обычный 4 3" xfId="30" xr:uid="{00000000-0005-0000-0000-000040000000}"/>
    <cellStyle name="Обычный 4 3 2" xfId="44" xr:uid="{00000000-0005-0000-0000-000041000000}"/>
    <cellStyle name="Обычный 4 3 2 2" xfId="68" xr:uid="{00000000-0005-0000-0000-000042000000}"/>
    <cellStyle name="Обычный 4 3 2 2 2" xfId="140" xr:uid="{00000000-0005-0000-0000-000043000000}"/>
    <cellStyle name="Обычный 4 3 2 2 2 2" xfId="288" xr:uid="{2BA53835-6D3E-4866-85A5-FED1AB2E38DE}"/>
    <cellStyle name="Обычный 4 3 2 2 3" xfId="216" xr:uid="{8CE2C0A8-FD67-4198-B745-61E2DDB91DB3}"/>
    <cellStyle name="Обычный 4 3 2 3" xfId="92" xr:uid="{00000000-0005-0000-0000-000044000000}"/>
    <cellStyle name="Обычный 4 3 2 3 2" xfId="164" xr:uid="{00000000-0005-0000-0000-000045000000}"/>
    <cellStyle name="Обычный 4 3 2 3 2 2" xfId="312" xr:uid="{2D0E3207-B482-4710-89D6-0533DAD1CF17}"/>
    <cellStyle name="Обычный 4 3 2 3 3" xfId="240" xr:uid="{EDA4F651-8AD7-44F0-AAF1-5A2B497D8523}"/>
    <cellStyle name="Обычный 4 3 2 4" xfId="116" xr:uid="{00000000-0005-0000-0000-000046000000}"/>
    <cellStyle name="Обычный 4 3 2 4 2" xfId="264" xr:uid="{A1FB4415-C4C4-4048-BB38-62ABC1DD6722}"/>
    <cellStyle name="Обычный 4 3 2 5" xfId="192" xr:uid="{DC7204C9-62D9-4F29-8DEE-34180D559568}"/>
    <cellStyle name="Обычный 4 3 3" xfId="55" xr:uid="{00000000-0005-0000-0000-000047000000}"/>
    <cellStyle name="Обычный 4 3 3 2" xfId="127" xr:uid="{00000000-0005-0000-0000-000048000000}"/>
    <cellStyle name="Обычный 4 3 3 2 2" xfId="275" xr:uid="{119227D9-4A8D-451E-86EA-37AF8390B50B}"/>
    <cellStyle name="Обычный 4 3 3 3" xfId="203" xr:uid="{E72D85A1-CD28-47C8-A7DA-8D00DF3C5690}"/>
    <cellStyle name="Обычный 4 3 4" xfId="79" xr:uid="{00000000-0005-0000-0000-000049000000}"/>
    <cellStyle name="Обычный 4 3 4 2" xfId="151" xr:uid="{00000000-0005-0000-0000-00004A000000}"/>
    <cellStyle name="Обычный 4 3 4 2 2" xfId="299" xr:uid="{9728685C-A8E0-455B-9BD0-8D2FBE997583}"/>
    <cellStyle name="Обычный 4 3 4 3" xfId="227" xr:uid="{EC96B45D-8165-41A1-B48E-9E8F6B47A0F9}"/>
    <cellStyle name="Обычный 4 3 5" xfId="103" xr:uid="{00000000-0005-0000-0000-00004B000000}"/>
    <cellStyle name="Обычный 4 3 5 2" xfId="251" xr:uid="{2E042E00-7BE2-490D-B0C2-1B0121B6BCF6}"/>
    <cellStyle name="Обычный 4 3 6" xfId="179" xr:uid="{1A326912-D6EA-45FF-A01E-BB5F02CC54B9}"/>
    <cellStyle name="Обычный 4 4" xfId="39" xr:uid="{00000000-0005-0000-0000-00004C000000}"/>
    <cellStyle name="Обычный 4 4 2" xfId="63" xr:uid="{00000000-0005-0000-0000-00004D000000}"/>
    <cellStyle name="Обычный 4 4 2 2" xfId="135" xr:uid="{00000000-0005-0000-0000-00004E000000}"/>
    <cellStyle name="Обычный 4 4 2 2 2" xfId="283" xr:uid="{3DC50811-E05C-46F3-8A74-C22CB2B233EC}"/>
    <cellStyle name="Обычный 4 4 2 3" xfId="211" xr:uid="{BDBCE151-FD43-4B0A-800A-8CB5AAAB6702}"/>
    <cellStyle name="Обычный 4 4 3" xfId="87" xr:uid="{00000000-0005-0000-0000-00004F000000}"/>
    <cellStyle name="Обычный 4 4 3 2" xfId="159" xr:uid="{00000000-0005-0000-0000-000050000000}"/>
    <cellStyle name="Обычный 4 4 3 2 2" xfId="307" xr:uid="{DB560E88-ED3F-4C9A-A1F9-2830C23B1283}"/>
    <cellStyle name="Обычный 4 4 3 3" xfId="235" xr:uid="{DE704121-223B-4CD8-B77C-82C091DEEF88}"/>
    <cellStyle name="Обычный 4 4 4" xfId="111" xr:uid="{00000000-0005-0000-0000-000051000000}"/>
    <cellStyle name="Обычный 4 4 4 2" xfId="259" xr:uid="{E05BC15B-01EC-474A-92C1-15E686DDD714}"/>
    <cellStyle name="Обычный 4 4 5" xfId="187" xr:uid="{896CA5DD-B855-4FC0-A58D-18652114EB84}"/>
    <cellStyle name="Обычный 4 5" xfId="50" xr:uid="{00000000-0005-0000-0000-000052000000}"/>
    <cellStyle name="Обычный 4 5 2" xfId="122" xr:uid="{00000000-0005-0000-0000-000053000000}"/>
    <cellStyle name="Обычный 4 5 2 2" xfId="270" xr:uid="{5502471C-9B96-47B4-A716-57A51225FABD}"/>
    <cellStyle name="Обычный 4 5 3" xfId="198" xr:uid="{624A882F-539C-4BF1-BDB3-9F21CC4793B3}"/>
    <cellStyle name="Обычный 4 6" xfId="74" xr:uid="{00000000-0005-0000-0000-000054000000}"/>
    <cellStyle name="Обычный 4 6 2" xfId="146" xr:uid="{00000000-0005-0000-0000-000055000000}"/>
    <cellStyle name="Обычный 4 6 2 2" xfId="294" xr:uid="{C393CF9C-346B-40FF-A408-48DAF47328CA}"/>
    <cellStyle name="Обычный 4 6 3" xfId="222" xr:uid="{82875AC1-6556-4FBD-9F62-2AFF0F3A80C9}"/>
    <cellStyle name="Обычный 4 7" xfId="98" xr:uid="{00000000-0005-0000-0000-000056000000}"/>
    <cellStyle name="Обычный 4 7 2" xfId="246" xr:uid="{8139F6AB-1DD0-45CB-8B3D-5CACEE01C22C}"/>
    <cellStyle name="Обычный 4 8" xfId="174" xr:uid="{94D10C10-41A1-4E02-9A0E-BA860AE0A578}"/>
    <cellStyle name="Обычный 5" xfId="6" xr:uid="{00000000-0005-0000-0000-000057000000}"/>
    <cellStyle name="Обычный 5 2" xfId="2" xr:uid="{00000000-0005-0000-0000-000058000000}"/>
    <cellStyle name="Обычный 5 2 2" xfId="37" xr:uid="{00000000-0005-0000-0000-000059000000}"/>
    <cellStyle name="Обычный 5 2 3" xfId="377" xr:uid="{949DC1A7-1A54-44EC-9F97-AA0D406BA809}"/>
    <cellStyle name="Обычный 5 3" xfId="35" xr:uid="{00000000-0005-0000-0000-00005A000000}"/>
    <cellStyle name="Обычный 5 3 2" xfId="60" xr:uid="{00000000-0005-0000-0000-00005B000000}"/>
    <cellStyle name="Обычный 5 3 2 2" xfId="132" xr:uid="{00000000-0005-0000-0000-00005C000000}"/>
    <cellStyle name="Обычный 5 3 2 2 2" xfId="280" xr:uid="{DDDCCF7C-65AA-4CFE-9896-D4FAF98D67A6}"/>
    <cellStyle name="Обычный 5 3 2 3" xfId="208" xr:uid="{0E91629F-7BC3-4DD1-8D70-9C3ACB712B4A}"/>
    <cellStyle name="Обычный 5 3 3" xfId="84" xr:uid="{00000000-0005-0000-0000-00005D000000}"/>
    <cellStyle name="Обычный 5 3 3 2" xfId="156" xr:uid="{00000000-0005-0000-0000-00005E000000}"/>
    <cellStyle name="Обычный 5 3 3 2 2" xfId="304" xr:uid="{4A1937DC-8BBB-4A6F-94A5-EEA8D51CEE77}"/>
    <cellStyle name="Обычный 5 3 3 3" xfId="232" xr:uid="{D80B37C2-4C68-4121-BF67-1D3D1B557B9E}"/>
    <cellStyle name="Обычный 5 3 4" xfId="108" xr:uid="{00000000-0005-0000-0000-00005F000000}"/>
    <cellStyle name="Обычный 5 3 4 2" xfId="256" xr:uid="{9DF21359-119B-4E5E-8814-038CB92FCCE6}"/>
    <cellStyle name="Обычный 5 3 5" xfId="184" xr:uid="{1D18845F-D1E1-4376-A5A1-DE644405AC99}"/>
    <cellStyle name="Обычный 6" xfId="7" xr:uid="{00000000-0005-0000-0000-000060000000}"/>
    <cellStyle name="Обычный 7" xfId="8" xr:uid="{00000000-0005-0000-0000-000061000000}"/>
    <cellStyle name="Обычный 8" xfId="9" xr:uid="{00000000-0005-0000-0000-000062000000}"/>
    <cellStyle name="Обычный 9" xfId="10" xr:uid="{00000000-0005-0000-0000-000063000000}"/>
    <cellStyle name="Финансовый 10" xfId="96" xr:uid="{00000000-0005-0000-0000-000065000000}"/>
    <cellStyle name="Финансовый 10 2" xfId="322" xr:uid="{E3919B1F-9A24-416F-83FA-6E9CCFD1395B}"/>
    <cellStyle name="Финансовый 10 2 2" xfId="358" xr:uid="{2DAEA05B-35DC-426D-91B0-107AA399F83A}"/>
    <cellStyle name="Финансовый 10 3" xfId="334" xr:uid="{155EF2B7-C561-4CFC-B2A1-85D42F79653F}"/>
    <cellStyle name="Финансовый 10 3 2" xfId="370" xr:uid="{5857621C-DCCC-453C-9AFE-A2EDE7D7EDA4}"/>
    <cellStyle name="Финансовый 10 4" xfId="346" xr:uid="{898E2615-07E8-4831-A62F-026F50BFCF9D}"/>
    <cellStyle name="Финансовый 10 5" xfId="384" xr:uid="{57994E29-C032-4CD1-8E9D-222B0935CEA9}"/>
    <cellStyle name="Финансовый 10 6" xfId="244" xr:uid="{0A87249A-BB80-4124-90CB-4890BFFCAF2F}"/>
    <cellStyle name="Финансовый 11" xfId="3" xr:uid="{00000000-0005-0000-0000-000066000000}"/>
    <cellStyle name="Финансовый 11 2" xfId="316" xr:uid="{B5177079-334F-46CD-99C1-2ADABE553652}"/>
    <cellStyle name="Финансовый 11 2 2" xfId="352" xr:uid="{5B026E31-BE1E-46E4-8A63-F5A92F7ADA2C}"/>
    <cellStyle name="Финансовый 11 3" xfId="328" xr:uid="{5201D58B-D175-41A7-92CF-63432D0A8404}"/>
    <cellStyle name="Финансовый 11 3 2" xfId="364" xr:uid="{85487CC0-AC84-4FE3-8DE7-9C80D785A8D1}"/>
    <cellStyle name="Финансовый 11 4" xfId="340" xr:uid="{AC0DBB8B-18EF-4BC4-975C-7CE24C926016}"/>
    <cellStyle name="Финансовый 11 5" xfId="378" xr:uid="{8F936AC6-7C50-4A1F-8CCA-D31ED6163E78}"/>
    <cellStyle name="Финансовый 11 6" xfId="171" xr:uid="{0CB8F4D6-6918-4931-A18C-0464F5485610}"/>
    <cellStyle name="Финансовый 12" xfId="376" xr:uid="{FA885470-E730-48E6-8817-E4CEFF14AD7B}"/>
    <cellStyle name="Финансовый 2" xfId="11" xr:uid="{00000000-0005-0000-0000-000067000000}"/>
    <cellStyle name="Финансовый 2 2" xfId="22" xr:uid="{00000000-0005-0000-0000-000068000000}"/>
    <cellStyle name="Финансовый 2 2 2" xfId="33" xr:uid="{00000000-0005-0000-0000-000069000000}"/>
    <cellStyle name="Финансовый 2 2 2 2" xfId="47" xr:uid="{00000000-0005-0000-0000-00006A000000}"/>
    <cellStyle name="Финансовый 2 2 2 2 2" xfId="71" xr:uid="{00000000-0005-0000-0000-00006B000000}"/>
    <cellStyle name="Финансовый 2 2 2 2 2 2" xfId="143" xr:uid="{00000000-0005-0000-0000-00006C000000}"/>
    <cellStyle name="Финансовый 2 2 2 2 2 2 2" xfId="291" xr:uid="{0D815689-C046-4343-8F36-A5807F573BC9}"/>
    <cellStyle name="Финансовый 2 2 2 2 2 3" xfId="219" xr:uid="{95F3C977-1227-47E3-A12F-E4FCB78E6164}"/>
    <cellStyle name="Финансовый 2 2 2 2 3" xfId="95" xr:uid="{00000000-0005-0000-0000-00006D000000}"/>
    <cellStyle name="Финансовый 2 2 2 2 3 2" xfId="167" xr:uid="{00000000-0005-0000-0000-00006E000000}"/>
    <cellStyle name="Финансовый 2 2 2 2 3 2 2" xfId="315" xr:uid="{B76B6B7C-6825-45AC-B080-8C3C978BB8FB}"/>
    <cellStyle name="Финансовый 2 2 2 2 3 3" xfId="243" xr:uid="{96859947-0207-42A1-BCA4-C7D0D7EFC7AC}"/>
    <cellStyle name="Финансовый 2 2 2 2 4" xfId="119" xr:uid="{00000000-0005-0000-0000-00006F000000}"/>
    <cellStyle name="Финансовый 2 2 2 2 4 2" xfId="267" xr:uid="{E6B324BF-654B-4BE1-828C-C038E6B6B893}"/>
    <cellStyle name="Финансовый 2 2 2 2 5" xfId="195" xr:uid="{7E9B161F-C386-466F-ACD9-40D17262D639}"/>
    <cellStyle name="Финансовый 2 2 2 3" xfId="58" xr:uid="{00000000-0005-0000-0000-000070000000}"/>
    <cellStyle name="Финансовый 2 2 2 3 2" xfId="130" xr:uid="{00000000-0005-0000-0000-000071000000}"/>
    <cellStyle name="Финансовый 2 2 2 3 2 2" xfId="278" xr:uid="{E97ADBBA-DC82-4269-81B7-0B7211A25236}"/>
    <cellStyle name="Финансовый 2 2 2 3 3" xfId="206" xr:uid="{B9FAE712-2CAB-4298-BDD3-4D6A76E7A829}"/>
    <cellStyle name="Финансовый 2 2 2 4" xfId="82" xr:uid="{00000000-0005-0000-0000-000072000000}"/>
    <cellStyle name="Финансовый 2 2 2 4 2" xfId="154" xr:uid="{00000000-0005-0000-0000-000073000000}"/>
    <cellStyle name="Финансовый 2 2 2 4 2 2" xfId="302" xr:uid="{BBF9D6B2-B711-456B-867A-F01323D519CF}"/>
    <cellStyle name="Финансовый 2 2 2 4 3" xfId="230" xr:uid="{66A436AF-3B71-47D8-9B6E-ACEB7CCA9DEC}"/>
    <cellStyle name="Финансовый 2 2 2 5" xfId="106" xr:uid="{00000000-0005-0000-0000-000074000000}"/>
    <cellStyle name="Финансовый 2 2 2 5 2" xfId="254" xr:uid="{A6BAA2D5-E2E9-4C2B-B269-86E0AC451AF0}"/>
    <cellStyle name="Финансовый 2 2 2 6" xfId="182" xr:uid="{8C131850-EB4F-48AF-ABFA-C5CEAF53D652}"/>
    <cellStyle name="Финансовый 2 2 3" xfId="42" xr:uid="{00000000-0005-0000-0000-000075000000}"/>
    <cellStyle name="Финансовый 2 2 3 2" xfId="66" xr:uid="{00000000-0005-0000-0000-000076000000}"/>
    <cellStyle name="Финансовый 2 2 3 2 2" xfId="138" xr:uid="{00000000-0005-0000-0000-000077000000}"/>
    <cellStyle name="Финансовый 2 2 3 2 2 2" xfId="286" xr:uid="{E504FB75-2680-42B5-9C1C-74CBBDFFC97A}"/>
    <cellStyle name="Финансовый 2 2 3 2 3" xfId="214" xr:uid="{F248CCA2-0D78-484D-B207-415DC1247CA6}"/>
    <cellStyle name="Финансовый 2 2 3 3" xfId="90" xr:uid="{00000000-0005-0000-0000-000078000000}"/>
    <cellStyle name="Финансовый 2 2 3 3 2" xfId="162" xr:uid="{00000000-0005-0000-0000-000079000000}"/>
    <cellStyle name="Финансовый 2 2 3 3 2 2" xfId="310" xr:uid="{BCDD38D3-F5C1-497D-A1D6-37F1B971CFCA}"/>
    <cellStyle name="Финансовый 2 2 3 3 3" xfId="238" xr:uid="{BEE83475-AC99-41FC-A5C3-EB738A3835AC}"/>
    <cellStyle name="Финансовый 2 2 3 4" xfId="114" xr:uid="{00000000-0005-0000-0000-00007A000000}"/>
    <cellStyle name="Финансовый 2 2 3 4 2" xfId="262" xr:uid="{8E640730-7045-43E7-84BD-B909ACECE240}"/>
    <cellStyle name="Финансовый 2 2 3 5" xfId="190" xr:uid="{45537BE4-394C-4DF9-B06B-EEC357D3E139}"/>
    <cellStyle name="Финансовый 2 2 4" xfId="53" xr:uid="{00000000-0005-0000-0000-00007B000000}"/>
    <cellStyle name="Финансовый 2 2 4 2" xfId="125" xr:uid="{00000000-0005-0000-0000-00007C000000}"/>
    <cellStyle name="Финансовый 2 2 4 2 2" xfId="273" xr:uid="{5C41674E-2364-41F5-8A20-FE210D42CCCF}"/>
    <cellStyle name="Финансовый 2 2 4 3" xfId="201" xr:uid="{08CA0CF7-F97A-4FE9-9553-9D705E625652}"/>
    <cellStyle name="Финансовый 2 2 5" xfId="77" xr:uid="{00000000-0005-0000-0000-00007D000000}"/>
    <cellStyle name="Финансовый 2 2 5 2" xfId="149" xr:uid="{00000000-0005-0000-0000-00007E000000}"/>
    <cellStyle name="Финансовый 2 2 5 2 2" xfId="297" xr:uid="{327F72DC-C2BA-4B31-B134-6D9598901E98}"/>
    <cellStyle name="Финансовый 2 2 5 3" xfId="225" xr:uid="{03442AE0-3508-4591-A453-A5EFF5A23EF7}"/>
    <cellStyle name="Финансовый 2 2 6" xfId="101" xr:uid="{00000000-0005-0000-0000-00007F000000}"/>
    <cellStyle name="Финансовый 2 2 6 2" xfId="249" xr:uid="{99296B56-3069-4FF3-BDC3-DA0C4F6A9608}"/>
    <cellStyle name="Финансовый 2 2 7" xfId="177" xr:uid="{CDC1046B-F173-4C8B-91CF-C6EB3BDD4346}"/>
    <cellStyle name="Финансовый 2 3" xfId="26" xr:uid="{00000000-0005-0000-0000-000080000000}"/>
    <cellStyle name="Финансовый 2 4" xfId="20" xr:uid="{00000000-0005-0000-0000-000081000000}"/>
    <cellStyle name="Финансовый 2 4 2" xfId="31" xr:uid="{00000000-0005-0000-0000-000082000000}"/>
    <cellStyle name="Финансовый 2 4 2 2" xfId="45" xr:uid="{00000000-0005-0000-0000-000083000000}"/>
    <cellStyle name="Финансовый 2 4 2 2 2" xfId="69" xr:uid="{00000000-0005-0000-0000-000084000000}"/>
    <cellStyle name="Финансовый 2 4 2 2 2 2" xfId="141" xr:uid="{00000000-0005-0000-0000-000085000000}"/>
    <cellStyle name="Финансовый 2 4 2 2 2 2 2" xfId="289" xr:uid="{ABB6D0F6-057E-4550-82BC-F13C7654A648}"/>
    <cellStyle name="Финансовый 2 4 2 2 2 3" xfId="217" xr:uid="{B17F0BE0-6B49-4001-8548-58CD4CB4C543}"/>
    <cellStyle name="Финансовый 2 4 2 2 3" xfId="93" xr:uid="{00000000-0005-0000-0000-000086000000}"/>
    <cellStyle name="Финансовый 2 4 2 2 3 2" xfId="165" xr:uid="{00000000-0005-0000-0000-000087000000}"/>
    <cellStyle name="Финансовый 2 4 2 2 3 2 2" xfId="313" xr:uid="{E908FFDB-7C52-4937-AD9B-E0DD90210DD2}"/>
    <cellStyle name="Финансовый 2 4 2 2 3 3" xfId="241" xr:uid="{5D62D6C6-6D33-4956-946F-E4E099B54CCF}"/>
    <cellStyle name="Финансовый 2 4 2 2 4" xfId="117" xr:uid="{00000000-0005-0000-0000-000088000000}"/>
    <cellStyle name="Финансовый 2 4 2 2 4 2" xfId="265" xr:uid="{4441B7C0-0C05-42AF-BEC1-254623B64564}"/>
    <cellStyle name="Финансовый 2 4 2 2 5" xfId="193" xr:uid="{362CC1C5-A0E2-4CEF-91B8-CABE619A2FAA}"/>
    <cellStyle name="Финансовый 2 4 2 3" xfId="56" xr:uid="{00000000-0005-0000-0000-000089000000}"/>
    <cellStyle name="Финансовый 2 4 2 3 2" xfId="128" xr:uid="{00000000-0005-0000-0000-00008A000000}"/>
    <cellStyle name="Финансовый 2 4 2 3 2 2" xfId="276" xr:uid="{785FF7E5-C9CF-491F-A5C2-73D857274E26}"/>
    <cellStyle name="Финансовый 2 4 2 3 3" xfId="204" xr:uid="{E2D18A99-1947-48DF-A849-4835D3636EC6}"/>
    <cellStyle name="Финансовый 2 4 2 4" xfId="80" xr:uid="{00000000-0005-0000-0000-00008B000000}"/>
    <cellStyle name="Финансовый 2 4 2 4 2" xfId="152" xr:uid="{00000000-0005-0000-0000-00008C000000}"/>
    <cellStyle name="Финансовый 2 4 2 4 2 2" xfId="300" xr:uid="{79AF30DB-0B28-40C4-AC63-3408F1D1FBD7}"/>
    <cellStyle name="Финансовый 2 4 2 4 3" xfId="228" xr:uid="{05783D8D-4AD6-4BD5-A7A1-4B8F6478CEB4}"/>
    <cellStyle name="Финансовый 2 4 2 5" xfId="104" xr:uid="{00000000-0005-0000-0000-00008D000000}"/>
    <cellStyle name="Финансовый 2 4 2 5 2" xfId="252" xr:uid="{7915D876-63FB-4F87-A5A7-5A845276756C}"/>
    <cellStyle name="Финансовый 2 4 2 6" xfId="180" xr:uid="{30E15B70-80D5-4932-9576-C00D42A2BF3C}"/>
    <cellStyle name="Финансовый 2 4 3" xfId="40" xr:uid="{00000000-0005-0000-0000-00008E000000}"/>
    <cellStyle name="Финансовый 2 4 3 2" xfId="64" xr:uid="{00000000-0005-0000-0000-00008F000000}"/>
    <cellStyle name="Финансовый 2 4 3 2 2" xfId="136" xr:uid="{00000000-0005-0000-0000-000090000000}"/>
    <cellStyle name="Финансовый 2 4 3 2 2 2" xfId="284" xr:uid="{AF8A0017-AC05-464F-AF77-FDEEEBF42045}"/>
    <cellStyle name="Финансовый 2 4 3 2 3" xfId="212" xr:uid="{9CC206BE-1D41-4421-B48F-67FC91BCA8D4}"/>
    <cellStyle name="Финансовый 2 4 3 3" xfId="88" xr:uid="{00000000-0005-0000-0000-000091000000}"/>
    <cellStyle name="Финансовый 2 4 3 3 2" xfId="160" xr:uid="{00000000-0005-0000-0000-000092000000}"/>
    <cellStyle name="Финансовый 2 4 3 3 2 2" xfId="308" xr:uid="{C5978111-B941-4373-9F70-2695863ADCF5}"/>
    <cellStyle name="Финансовый 2 4 3 3 3" xfId="236" xr:uid="{6740CE0F-1497-4D6E-A6EE-7AE9A4269F39}"/>
    <cellStyle name="Финансовый 2 4 3 4" xfId="112" xr:uid="{00000000-0005-0000-0000-000093000000}"/>
    <cellStyle name="Финансовый 2 4 3 4 2" xfId="260" xr:uid="{C7224B00-7BDF-4A56-AEEC-605B9DDDF233}"/>
    <cellStyle name="Финансовый 2 4 3 5" xfId="188" xr:uid="{5E1A9BE3-7D93-4507-A178-480CF407C0CA}"/>
    <cellStyle name="Финансовый 2 4 4" xfId="51" xr:uid="{00000000-0005-0000-0000-000094000000}"/>
    <cellStyle name="Финансовый 2 4 4 2" xfId="123" xr:uid="{00000000-0005-0000-0000-000095000000}"/>
    <cellStyle name="Финансовый 2 4 4 2 2" xfId="271" xr:uid="{C03D46F1-9F09-473F-905F-ACCBAFCA11D9}"/>
    <cellStyle name="Финансовый 2 4 4 3" xfId="199" xr:uid="{C81E48C3-2A44-4037-993C-46E54A867D26}"/>
    <cellStyle name="Финансовый 2 4 5" xfId="75" xr:uid="{00000000-0005-0000-0000-000096000000}"/>
    <cellStyle name="Финансовый 2 4 5 2" xfId="147" xr:uid="{00000000-0005-0000-0000-000097000000}"/>
    <cellStyle name="Финансовый 2 4 5 2 2" xfId="295" xr:uid="{194FE7E1-FBDB-4258-BCF8-63047953EEF5}"/>
    <cellStyle name="Финансовый 2 4 5 3" xfId="223" xr:uid="{D830ECA7-F3EA-4568-8004-52EF89ADA7AB}"/>
    <cellStyle name="Финансовый 2 4 6" xfId="99" xr:uid="{00000000-0005-0000-0000-000098000000}"/>
    <cellStyle name="Финансовый 2 4 6 2" xfId="247" xr:uid="{4FE9C26B-65D1-4CF0-BB10-3B0B087DE208}"/>
    <cellStyle name="Финансовый 2 4 7" xfId="175" xr:uid="{CF996EEF-BB40-4B0F-87A3-3330E643EB3B}"/>
    <cellStyle name="Финансовый 3" xfId="13" xr:uid="{00000000-0005-0000-0000-000099000000}"/>
    <cellStyle name="Финансовый 3 2" xfId="23" xr:uid="{00000000-0005-0000-0000-00009A000000}"/>
    <cellStyle name="Финансовый 4" xfId="4" xr:uid="{00000000-0005-0000-0000-00009B000000}"/>
    <cellStyle name="Финансовый 4 2" xfId="24" xr:uid="{00000000-0005-0000-0000-00009C000000}"/>
    <cellStyle name="Финансовый 5" xfId="28" xr:uid="{00000000-0005-0000-0000-00009D000000}"/>
    <cellStyle name="Финансовый 6" xfId="17" xr:uid="{00000000-0005-0000-0000-00009E000000}"/>
    <cellStyle name="Финансовый 7" xfId="36" xr:uid="{00000000-0005-0000-0000-00009F000000}"/>
    <cellStyle name="Финансовый 7 2" xfId="61" xr:uid="{00000000-0005-0000-0000-0000A0000000}"/>
    <cellStyle name="Финансовый 7 2 2" xfId="133" xr:uid="{00000000-0005-0000-0000-0000A1000000}"/>
    <cellStyle name="Финансовый 7 2 2 2" xfId="325" xr:uid="{EFEB41F3-D6C2-4CF7-B764-3A96275D1625}"/>
    <cellStyle name="Финансовый 7 2 2 2 2" xfId="361" xr:uid="{D0D2660D-98D5-4AD3-9EAF-2C7975B60D79}"/>
    <cellStyle name="Финансовый 7 2 2 3" xfId="337" xr:uid="{1A20648F-56A4-4AD1-B3B1-D02364D3C426}"/>
    <cellStyle name="Финансовый 7 2 2 3 2" xfId="373" xr:uid="{FF410CCA-6C76-48E9-86A5-8879FC88C5A4}"/>
    <cellStyle name="Финансовый 7 2 2 4" xfId="349" xr:uid="{3B67F591-539E-4028-A312-756B0D79C38E}"/>
    <cellStyle name="Финансовый 7 2 2 5" xfId="387" xr:uid="{561860C7-D628-4F1D-98A2-C6E1FE78294F}"/>
    <cellStyle name="Финансовый 7 2 2 6" xfId="281" xr:uid="{2054B610-FD85-447C-A014-2C4C2B20A577}"/>
    <cellStyle name="Финансовый 7 2 3" xfId="319" xr:uid="{0724E263-CE95-4269-943D-66E9D670F2CF}"/>
    <cellStyle name="Финансовый 7 2 3 2" xfId="355" xr:uid="{485D86FF-0146-4ECD-B0F3-6825F475BC0D}"/>
    <cellStyle name="Финансовый 7 2 4" xfId="331" xr:uid="{29FF029E-6BD7-4F1A-82C2-FBD46D3805BC}"/>
    <cellStyle name="Финансовый 7 2 4 2" xfId="367" xr:uid="{864BCB67-9BDF-496D-95A4-200AED98DDCB}"/>
    <cellStyle name="Финансовый 7 2 5" xfId="343" xr:uid="{BE8E6896-76B1-4673-A5FD-53A127D6A75A}"/>
    <cellStyle name="Финансовый 7 2 6" xfId="381" xr:uid="{74CF20AB-D1F1-45C2-AD8F-9B36E8F7FCEB}"/>
    <cellStyle name="Финансовый 7 2 7" xfId="209" xr:uid="{87C9CF79-1811-4ADD-B538-77140FD530BD}"/>
    <cellStyle name="Финансовый 7 3" xfId="85" xr:uid="{00000000-0005-0000-0000-0000A2000000}"/>
    <cellStyle name="Финансовый 7 3 2" xfId="157" xr:uid="{00000000-0005-0000-0000-0000A3000000}"/>
    <cellStyle name="Финансовый 7 3 2 2" xfId="327" xr:uid="{DFF14A0F-DFC6-4524-842A-1A431572B0B1}"/>
    <cellStyle name="Финансовый 7 3 2 2 2" xfId="363" xr:uid="{E58DF05C-DF4D-4ECD-A358-4E3233BCF44C}"/>
    <cellStyle name="Финансовый 7 3 2 3" xfId="339" xr:uid="{972D5F66-7600-4844-A5D9-049882220B81}"/>
    <cellStyle name="Финансовый 7 3 2 3 2" xfId="375" xr:uid="{2DC53103-6AAE-465D-922F-31BAE5A9416A}"/>
    <cellStyle name="Финансовый 7 3 2 4" xfId="351" xr:uid="{09E280B6-BDD8-494B-A616-76BB25C37963}"/>
    <cellStyle name="Финансовый 7 3 2 5" xfId="389" xr:uid="{3F8ABFB9-6FB7-40E3-9078-010020134627}"/>
    <cellStyle name="Финансовый 7 3 2 6" xfId="305" xr:uid="{65054352-26C4-4DDB-810F-3F075473B359}"/>
    <cellStyle name="Финансовый 7 3 3" xfId="321" xr:uid="{66FC64EF-3D50-49C5-BA2B-EFAE5A8332FB}"/>
    <cellStyle name="Финансовый 7 3 3 2" xfId="357" xr:uid="{855AB89D-4A69-49C2-A690-8EE1EEDF3542}"/>
    <cellStyle name="Финансовый 7 3 4" xfId="333" xr:uid="{61D2A8C1-CFCA-47AA-A0F4-052E34C1261F}"/>
    <cellStyle name="Финансовый 7 3 4 2" xfId="369" xr:uid="{6EC80A88-B362-4E1C-8154-2CAF20E30B55}"/>
    <cellStyle name="Финансовый 7 3 5" xfId="345" xr:uid="{F7B74119-4B87-4F61-84D2-14A35F129A7E}"/>
    <cellStyle name="Финансовый 7 3 6" xfId="383" xr:uid="{3070C3AE-F41D-4795-8E0D-83101F6E75F3}"/>
    <cellStyle name="Финансовый 7 3 7" xfId="233" xr:uid="{77427A9C-4CC9-4C22-B667-FBA9DE7383B9}"/>
    <cellStyle name="Финансовый 7 4" xfId="109" xr:uid="{00000000-0005-0000-0000-0000A4000000}"/>
    <cellStyle name="Финансовый 7 4 2" xfId="323" xr:uid="{4849A9DE-3B1A-4AAA-9CB2-CE28073FE3A2}"/>
    <cellStyle name="Финансовый 7 4 2 2" xfId="359" xr:uid="{26F74D25-79E3-45F4-8005-F0B134C4613D}"/>
    <cellStyle name="Финансовый 7 4 3" xfId="335" xr:uid="{8EF19950-EB13-431C-B9DD-E8F0794EA1B6}"/>
    <cellStyle name="Финансовый 7 4 3 2" xfId="371" xr:uid="{926A63DC-F6F2-4E5A-BC1B-C1ED6506F53A}"/>
    <cellStyle name="Финансовый 7 4 4" xfId="347" xr:uid="{DA643601-A2FF-4E91-BE11-1AEF63E6B694}"/>
    <cellStyle name="Финансовый 7 4 5" xfId="385" xr:uid="{5F645C0F-F1F8-4AC7-8174-87325B06508C}"/>
    <cellStyle name="Финансовый 7 4 6" xfId="257" xr:uid="{C73B0C3C-BBAA-4791-BCAC-D1A043F7D82A}"/>
    <cellStyle name="Финансовый 7 5" xfId="317" xr:uid="{7573C5B8-E582-418B-9556-5E36A3B16C8E}"/>
    <cellStyle name="Финансовый 7 5 2" xfId="353" xr:uid="{4D21499D-CC2B-4808-B33F-34168436F3F2}"/>
    <cellStyle name="Финансовый 7 6" xfId="329" xr:uid="{051DC108-33C9-4A0D-A276-B76534118273}"/>
    <cellStyle name="Финансовый 7 6 2" xfId="365" xr:uid="{FFDE6C8E-B316-4981-BEE6-287DCF490564}"/>
    <cellStyle name="Финансовый 7 7" xfId="341" xr:uid="{58132E58-1D94-45B8-A10A-80AF00AFC9B3}"/>
    <cellStyle name="Финансовый 7 8" xfId="379" xr:uid="{DBEC2613-BC1A-4FA5-8123-EB4449B353C4}"/>
    <cellStyle name="Финансовый 7 9" xfId="185" xr:uid="{A1D56CE8-FA06-464B-9DCA-1BEB38C9409E}"/>
    <cellStyle name="Финансовый 8" xfId="48" xr:uid="{00000000-0005-0000-0000-0000A5000000}"/>
    <cellStyle name="Финансовый 8 2" xfId="120" xr:uid="{00000000-0005-0000-0000-0000A6000000}"/>
    <cellStyle name="Финансовый 8 2 2" xfId="324" xr:uid="{B4FE0FCB-1D87-43F5-AE1B-63F2672CA6AA}"/>
    <cellStyle name="Финансовый 8 2 2 2" xfId="360" xr:uid="{B9AC51C0-D193-496A-B42F-DCC5923BBAFF}"/>
    <cellStyle name="Финансовый 8 2 3" xfId="336" xr:uid="{EE0854BB-C5ED-4784-BA97-729FA96DC78C}"/>
    <cellStyle name="Финансовый 8 2 3 2" xfId="372" xr:uid="{15A1E33C-B6B7-4420-A00C-7790753D1571}"/>
    <cellStyle name="Финансовый 8 2 4" xfId="348" xr:uid="{B722D42F-E0C8-474A-B116-46FD6C6815B0}"/>
    <cellStyle name="Финансовый 8 2 5" xfId="386" xr:uid="{913F98C0-D488-4924-9E0C-D5EA0768275C}"/>
    <cellStyle name="Финансовый 8 2 6" xfId="268" xr:uid="{5CA550B6-538C-4EBC-8EAF-48D49BBC776F}"/>
    <cellStyle name="Финансовый 8 3" xfId="318" xr:uid="{E48EA33A-0A9D-49AA-9025-2954A2E819E7}"/>
    <cellStyle name="Финансовый 8 3 2" xfId="354" xr:uid="{1037390B-DC10-4DD4-B7E0-664C14218AAE}"/>
    <cellStyle name="Финансовый 8 4" xfId="330" xr:uid="{32AC8616-F156-4C82-A39B-B89724DE829D}"/>
    <cellStyle name="Финансовый 8 4 2" xfId="366" xr:uid="{543007C1-2657-4E5E-9776-5788AA5D0A3F}"/>
    <cellStyle name="Финансовый 8 5" xfId="342" xr:uid="{357D4E52-51D9-45C5-8E44-35890A8F8F07}"/>
    <cellStyle name="Финансовый 8 6" xfId="380" xr:uid="{B7BB4E90-26CD-49B0-90F1-C4023111A86D}"/>
    <cellStyle name="Финансовый 8 7" xfId="196" xr:uid="{95BA8E8D-D082-427C-B5B0-0D0B678F2941}"/>
    <cellStyle name="Финансовый 9" xfId="72" xr:uid="{00000000-0005-0000-0000-0000A7000000}"/>
    <cellStyle name="Финансовый 9 2" xfId="144" xr:uid="{00000000-0005-0000-0000-0000A8000000}"/>
    <cellStyle name="Финансовый 9 2 2" xfId="326" xr:uid="{2ED52CF1-FD6F-4049-BF7A-B8FE90AC55D0}"/>
    <cellStyle name="Финансовый 9 2 2 2" xfId="362" xr:uid="{E0FED413-86BF-422D-B683-E2E8713917AE}"/>
    <cellStyle name="Финансовый 9 2 3" xfId="338" xr:uid="{04CB9BD3-9756-46D1-B968-193FB2A5395D}"/>
    <cellStyle name="Финансовый 9 2 3 2" xfId="374" xr:uid="{CC4695AC-E93C-43D4-9C7D-14D78E164D5D}"/>
    <cellStyle name="Финансовый 9 2 4" xfId="350" xr:uid="{BE28C0D8-4CF9-4C4B-B1D0-583C2F218EDA}"/>
    <cellStyle name="Финансовый 9 2 5" xfId="388" xr:uid="{6D7DBF3E-D3E7-4CF6-8A9E-D79F9980402C}"/>
    <cellStyle name="Финансовый 9 2 6" xfId="292" xr:uid="{14CEAD31-2E76-476F-A307-6A1A19CFA242}"/>
    <cellStyle name="Финансовый 9 3" xfId="320" xr:uid="{F17E3522-DB13-4D9D-9E9D-D0A3930ADAE8}"/>
    <cellStyle name="Финансовый 9 3 2" xfId="356" xr:uid="{B7CFC37A-BED5-40C8-A0D9-D52C8F54720D}"/>
    <cellStyle name="Финансовый 9 4" xfId="332" xr:uid="{67E705C2-70DC-4401-9790-12854E6C5114}"/>
    <cellStyle name="Финансовый 9 4 2" xfId="368" xr:uid="{5B879CBC-C18D-46D6-A803-75176C1746D5}"/>
    <cellStyle name="Финансовый 9 5" xfId="344" xr:uid="{1E32D3A4-3314-4FBA-9C32-114F7F92C378}"/>
    <cellStyle name="Финансовый 9 6" xfId="382" xr:uid="{C4094491-2849-40F2-AAAF-8C7AC766CAC1}"/>
    <cellStyle name="Финансовый 9 7" xfId="220" xr:uid="{000BD7E5-D306-49BD-A38D-D39D5309D770}"/>
  </cellStyles>
  <dxfs count="0"/>
  <tableStyles count="0" defaultTableStyle="TableStyleMedium2" defaultPivotStyle="PivotStyleLight16"/>
  <colors>
    <mruColors>
      <color rgb="FF66FF66"/>
      <color rgb="FFFF66FF"/>
      <color rgb="FF00FF00"/>
      <color rgb="FFCC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39"/>
  <sheetViews>
    <sheetView tabSelected="1" zoomScale="106" zoomScaleNormal="87" zoomScaleSheetLayoutView="85" workbookViewId="0">
      <selection activeCell="B16" sqref="B16"/>
    </sheetView>
  </sheetViews>
  <sheetFormatPr defaultColWidth="8.85546875" defaultRowHeight="15" x14ac:dyDescent="0.25"/>
  <cols>
    <col min="1" max="1" width="5.85546875" style="1" customWidth="1"/>
    <col min="2" max="2" width="54.28515625" style="1" customWidth="1"/>
    <col min="3" max="3" width="22.7109375" style="1" customWidth="1"/>
    <col min="4" max="4" width="21.5703125" style="1" customWidth="1"/>
    <col min="5" max="5" width="17" style="1" customWidth="1"/>
    <col min="6" max="6" width="19.42578125" style="2" customWidth="1"/>
    <col min="7" max="7" width="19.28515625" style="1" customWidth="1"/>
    <col min="8" max="8" width="18.5703125" style="2" customWidth="1"/>
    <col min="9" max="9" width="17.28515625" style="1" customWidth="1"/>
    <col min="10" max="10" width="18.140625" style="1" customWidth="1"/>
    <col min="11" max="11" width="14.7109375" style="1" customWidth="1"/>
    <col min="12" max="12" width="8" style="7" customWidth="1"/>
    <col min="13" max="13" width="19" style="1" customWidth="1"/>
    <col min="14" max="14" width="12" style="1" customWidth="1"/>
    <col min="15" max="15" width="21.7109375" style="1" customWidth="1"/>
    <col min="16" max="16" width="18.140625" style="1" customWidth="1"/>
    <col min="17" max="17" width="18.28515625" style="1" customWidth="1"/>
    <col min="18" max="18" width="27.5703125" style="1" customWidth="1"/>
    <col min="19" max="19" width="15" style="1" customWidth="1"/>
    <col min="20" max="16384" width="8.85546875" style="1"/>
  </cols>
  <sheetData>
    <row r="1" spans="1:19" x14ac:dyDescent="0.2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x14ac:dyDescent="0.25">
      <c r="A2" s="79" t="s">
        <v>1</v>
      </c>
      <c r="B2" s="79" t="s">
        <v>2</v>
      </c>
      <c r="C2" s="79" t="s">
        <v>3</v>
      </c>
      <c r="D2" s="79" t="s">
        <v>4</v>
      </c>
      <c r="E2" s="79" t="s">
        <v>5</v>
      </c>
      <c r="F2" s="79" t="s">
        <v>6</v>
      </c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 t="s">
        <v>7</v>
      </c>
      <c r="M3" s="79"/>
      <c r="N3" s="79" t="s">
        <v>8</v>
      </c>
      <c r="O3" s="79"/>
      <c r="P3" s="79" t="s">
        <v>9</v>
      </c>
      <c r="Q3" s="79" t="s">
        <v>10</v>
      </c>
      <c r="R3" s="79" t="s">
        <v>11</v>
      </c>
      <c r="S3" s="79" t="s">
        <v>12</v>
      </c>
    </row>
    <row r="4" spans="1:19" ht="30" x14ac:dyDescent="0.25">
      <c r="A4" s="79"/>
      <c r="B4" s="79"/>
      <c r="C4" s="79"/>
      <c r="D4" s="79"/>
      <c r="E4" s="79"/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79"/>
      <c r="M4" s="79"/>
      <c r="N4" s="79"/>
      <c r="O4" s="79"/>
      <c r="P4" s="79"/>
      <c r="Q4" s="79"/>
      <c r="R4" s="79"/>
      <c r="S4" s="79"/>
    </row>
    <row r="5" spans="1:19" ht="24" customHeight="1" x14ac:dyDescent="0.25">
      <c r="A5" s="79"/>
      <c r="B5" s="79"/>
      <c r="C5" s="9" t="s">
        <v>19</v>
      </c>
      <c r="D5" s="9" t="s">
        <v>19</v>
      </c>
      <c r="E5" s="9" t="s">
        <v>19</v>
      </c>
      <c r="F5" s="9" t="s">
        <v>19</v>
      </c>
      <c r="G5" s="9" t="s">
        <v>19</v>
      </c>
      <c r="H5" s="9" t="s">
        <v>19</v>
      </c>
      <c r="I5" s="9" t="s">
        <v>19</v>
      </c>
      <c r="J5" s="9" t="s">
        <v>19</v>
      </c>
      <c r="K5" s="9" t="s">
        <v>19</v>
      </c>
      <c r="L5" s="10" t="s">
        <v>20</v>
      </c>
      <c r="M5" s="9" t="s">
        <v>19</v>
      </c>
      <c r="N5" s="9" t="s">
        <v>21</v>
      </c>
      <c r="O5" s="9" t="s">
        <v>19</v>
      </c>
      <c r="P5" s="9" t="s">
        <v>19</v>
      </c>
      <c r="Q5" s="9" t="s">
        <v>19</v>
      </c>
      <c r="R5" s="9" t="s">
        <v>19</v>
      </c>
      <c r="S5" s="9" t="s">
        <v>19</v>
      </c>
    </row>
    <row r="6" spans="1:19" ht="15" customHeight="1" x14ac:dyDescent="0.25">
      <c r="A6" s="9" t="s">
        <v>22</v>
      </c>
      <c r="B6" s="9" t="s">
        <v>23</v>
      </c>
      <c r="C6" s="9" t="s">
        <v>24</v>
      </c>
      <c r="D6" s="9" t="s">
        <v>25</v>
      </c>
      <c r="E6" s="9" t="s">
        <v>26</v>
      </c>
      <c r="F6" s="9" t="s">
        <v>27</v>
      </c>
      <c r="G6" s="9" t="s">
        <v>28</v>
      </c>
      <c r="H6" s="9" t="s">
        <v>29</v>
      </c>
      <c r="I6" s="9" t="s">
        <v>30</v>
      </c>
      <c r="J6" s="9" t="s">
        <v>31</v>
      </c>
      <c r="K6" s="9" t="s">
        <v>32</v>
      </c>
      <c r="L6" s="10" t="s">
        <v>33</v>
      </c>
      <c r="M6" s="9" t="s">
        <v>34</v>
      </c>
      <c r="N6" s="9" t="s">
        <v>35</v>
      </c>
      <c r="O6" s="9" t="s">
        <v>36</v>
      </c>
      <c r="P6" s="9" t="s">
        <v>37</v>
      </c>
      <c r="Q6" s="9" t="s">
        <v>38</v>
      </c>
      <c r="R6" s="9" t="s">
        <v>39</v>
      </c>
      <c r="S6" s="9" t="s">
        <v>40</v>
      </c>
    </row>
    <row r="7" spans="1:19" ht="39" customHeight="1" x14ac:dyDescent="0.25">
      <c r="A7" s="11">
        <f>A9+A968+A1508</f>
        <v>1893</v>
      </c>
      <c r="B7" s="12" t="s">
        <v>41</v>
      </c>
      <c r="C7" s="13">
        <f>ROUNDUP(C9+C968+C1508,2)</f>
        <v>16646250979.110001</v>
      </c>
      <c r="D7" s="13">
        <f t="shared" ref="D7:M7" si="0">ROUNDUP(D9+D968+D1508,2)</f>
        <v>105794597.29000001</v>
      </c>
      <c r="E7" s="13">
        <f t="shared" si="0"/>
        <v>337428577.88</v>
      </c>
      <c r="F7" s="13">
        <f t="shared" si="0"/>
        <v>1047706566.97</v>
      </c>
      <c r="G7" s="13">
        <f t="shared" si="0"/>
        <v>1852540666.7</v>
      </c>
      <c r="H7" s="13">
        <f t="shared" si="0"/>
        <v>784059966.74000001</v>
      </c>
      <c r="I7" s="13">
        <f t="shared" si="0"/>
        <v>347271120.31999999</v>
      </c>
      <c r="J7" s="13">
        <f t="shared" si="0"/>
        <v>497773862.75999999</v>
      </c>
      <c r="K7" s="13">
        <f t="shared" si="0"/>
        <v>2625026.94</v>
      </c>
      <c r="L7" s="14">
        <f t="shared" si="0"/>
        <v>503</v>
      </c>
      <c r="M7" s="13">
        <f t="shared" si="0"/>
        <v>2211616541.3099999</v>
      </c>
      <c r="N7" s="13" t="s">
        <v>42</v>
      </c>
      <c r="O7" s="13">
        <f>ROUNDUP(O9+O968+O1508,2)</f>
        <v>3864457920.4699998</v>
      </c>
      <c r="P7" s="13">
        <f>ROUNDUP(P9+P968+P1508,2)</f>
        <v>852225548.34000003</v>
      </c>
      <c r="Q7" s="13">
        <f>ROUNDUP(Q9+Q968+Q1508,2)</f>
        <v>2980875536.5</v>
      </c>
      <c r="R7" s="13">
        <f>ROUNDUP(R9+R968+R1508,2)</f>
        <v>1752980109.6600001</v>
      </c>
      <c r="S7" s="13">
        <f>ROUNDUP(S9+S968+S1508,2)</f>
        <v>8894937.2300000004</v>
      </c>
    </row>
    <row r="8" spans="1:19" ht="13.15" customHeight="1" x14ac:dyDescent="0.25">
      <c r="A8" s="80" t="s">
        <v>43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spans="1:19" x14ac:dyDescent="0.25">
      <c r="A9" s="15" t="str">
        <f>A965</f>
        <v>915</v>
      </c>
      <c r="B9" s="16" t="s">
        <v>2073</v>
      </c>
      <c r="C9" s="13">
        <f>ROUNDUP(C27+C31+C83+C99+C131+C147+C244+C278+C385+C401+C445+C458+C481+C507+C530+C553+C762+C857+C880+C931+C966,2)</f>
        <v>3037375342.8099999</v>
      </c>
      <c r="D9" s="13">
        <f t="shared" ref="D9:S9" si="1">ROUNDUP(D27+D31+D83+D99+D131+D147+D244+D278+D385+D401+D445+D458+D481+D507+D530+D553+D762+D857+D880+D931+D966,2)</f>
        <v>37712230.32</v>
      </c>
      <c r="E9" s="13">
        <f t="shared" si="1"/>
        <v>300587581.56999999</v>
      </c>
      <c r="F9" s="13">
        <f t="shared" si="1"/>
        <v>146753555.24000001</v>
      </c>
      <c r="G9" s="13">
        <f t="shared" si="1"/>
        <v>386418653.85000002</v>
      </c>
      <c r="H9" s="13">
        <f t="shared" si="1"/>
        <v>102951067.63</v>
      </c>
      <c r="I9" s="13">
        <f t="shared" si="1"/>
        <v>47912929.759999998</v>
      </c>
      <c r="J9" s="13">
        <f t="shared" si="1"/>
        <v>74724812.329999998</v>
      </c>
      <c r="K9" s="13">
        <f t="shared" si="1"/>
        <v>249971.43</v>
      </c>
      <c r="L9" s="14">
        <f t="shared" si="1"/>
        <v>158</v>
      </c>
      <c r="M9" s="13">
        <f t="shared" si="1"/>
        <v>621574888.85000002</v>
      </c>
      <c r="N9" s="13" t="s">
        <v>42</v>
      </c>
      <c r="O9" s="13">
        <f t="shared" si="1"/>
        <v>511646089.36000001</v>
      </c>
      <c r="P9" s="13">
        <f t="shared" si="1"/>
        <v>126366129.73999999</v>
      </c>
      <c r="Q9" s="13">
        <f t="shared" si="1"/>
        <v>573687778.76999998</v>
      </c>
      <c r="R9" s="13">
        <f t="shared" si="1"/>
        <v>106118517.19</v>
      </c>
      <c r="S9" s="13">
        <f t="shared" si="1"/>
        <v>671136.77</v>
      </c>
    </row>
    <row r="10" spans="1:19" x14ac:dyDescent="0.25">
      <c r="A10" s="80" t="s">
        <v>44</v>
      </c>
      <c r="B10" s="80"/>
      <c r="C10" s="80"/>
      <c r="D10" s="13"/>
      <c r="E10" s="13"/>
      <c r="F10" s="13"/>
      <c r="G10" s="13"/>
      <c r="H10" s="13"/>
      <c r="I10" s="13"/>
      <c r="J10" s="13"/>
      <c r="K10" s="13"/>
      <c r="L10" s="14"/>
      <c r="M10" s="13"/>
      <c r="N10" s="14"/>
      <c r="O10" s="13"/>
      <c r="P10" s="13"/>
      <c r="Q10" s="13"/>
      <c r="R10" s="13"/>
      <c r="S10" s="13"/>
    </row>
    <row r="11" spans="1:19" x14ac:dyDescent="0.25">
      <c r="A11" s="9" t="s">
        <v>22</v>
      </c>
      <c r="B11" s="17" t="s">
        <v>45</v>
      </c>
      <c r="C11" s="18">
        <f t="shared" ref="C11:C26" si="2">ROUNDUP(SUM(D11+E11+F11+G11+H11+I11+J11+K11+M11+O11+P11+Q11+R11+S11),2)</f>
        <v>168041.84</v>
      </c>
      <c r="D11" s="18"/>
      <c r="E11" s="18">
        <v>168041.84</v>
      </c>
      <c r="F11" s="18"/>
      <c r="G11" s="18"/>
      <c r="H11" s="18"/>
      <c r="I11" s="18"/>
      <c r="J11" s="18"/>
      <c r="K11" s="18"/>
      <c r="L11" s="10"/>
      <c r="M11" s="18"/>
      <c r="N11" s="10"/>
      <c r="O11" s="18"/>
      <c r="P11" s="18"/>
      <c r="Q11" s="18"/>
      <c r="R11" s="18"/>
      <c r="S11" s="18"/>
    </row>
    <row r="12" spans="1:19" x14ac:dyDescent="0.25">
      <c r="A12" s="9" t="s">
        <v>23</v>
      </c>
      <c r="B12" s="17" t="s">
        <v>46</v>
      </c>
      <c r="C12" s="18">
        <f t="shared" si="2"/>
        <v>9542042.7699999996</v>
      </c>
      <c r="D12" s="18">
        <v>195256.31</v>
      </c>
      <c r="E12" s="18">
        <v>175517.69</v>
      </c>
      <c r="F12" s="18"/>
      <c r="G12" s="18"/>
      <c r="H12" s="18"/>
      <c r="I12" s="18"/>
      <c r="J12" s="18"/>
      <c r="K12" s="18"/>
      <c r="L12" s="10"/>
      <c r="M12" s="18"/>
      <c r="N12" s="10"/>
      <c r="O12" s="18"/>
      <c r="P12" s="18"/>
      <c r="Q12" s="18"/>
      <c r="R12" s="18">
        <v>9171268.7699999996</v>
      </c>
      <c r="S12" s="18"/>
    </row>
    <row r="13" spans="1:19" x14ac:dyDescent="0.25">
      <c r="A13" s="9" t="s">
        <v>24</v>
      </c>
      <c r="B13" s="17" t="s">
        <v>47</v>
      </c>
      <c r="C13" s="18">
        <f t="shared" si="2"/>
        <v>25216175.149999999</v>
      </c>
      <c r="D13" s="18">
        <v>516231.34</v>
      </c>
      <c r="E13" s="18">
        <v>452346.66</v>
      </c>
      <c r="F13" s="18"/>
      <c r="G13" s="18">
        <v>5226470.4800000004</v>
      </c>
      <c r="H13" s="18">
        <v>1420561.98</v>
      </c>
      <c r="I13" s="18">
        <v>449396.51</v>
      </c>
      <c r="J13" s="18">
        <v>1205536.93</v>
      </c>
      <c r="K13" s="18"/>
      <c r="L13" s="10"/>
      <c r="M13" s="18"/>
      <c r="N13" s="10"/>
      <c r="O13" s="18"/>
      <c r="P13" s="18"/>
      <c r="Q13" s="18"/>
      <c r="R13" s="18">
        <v>15945631.25</v>
      </c>
      <c r="S13" s="18"/>
    </row>
    <row r="14" spans="1:19" x14ac:dyDescent="0.25">
      <c r="A14" s="9" t="s">
        <v>25</v>
      </c>
      <c r="B14" s="17" t="s">
        <v>48</v>
      </c>
      <c r="C14" s="18">
        <f t="shared" si="2"/>
        <v>305201.81</v>
      </c>
      <c r="D14" s="18"/>
      <c r="E14" s="18">
        <v>305201.81</v>
      </c>
      <c r="F14" s="18"/>
      <c r="G14" s="18"/>
      <c r="H14" s="18"/>
      <c r="I14" s="18"/>
      <c r="J14" s="18"/>
      <c r="K14" s="18"/>
      <c r="L14" s="10"/>
      <c r="M14" s="18"/>
      <c r="N14" s="10"/>
      <c r="O14" s="18"/>
      <c r="P14" s="18"/>
      <c r="Q14" s="18"/>
      <c r="R14" s="18"/>
      <c r="S14" s="18"/>
    </row>
    <row r="15" spans="1:19" x14ac:dyDescent="0.25">
      <c r="A15" s="9" t="s">
        <v>26</v>
      </c>
      <c r="B15" s="17" t="s">
        <v>49</v>
      </c>
      <c r="C15" s="18">
        <f t="shared" si="2"/>
        <v>292335.42</v>
      </c>
      <c r="D15" s="18"/>
      <c r="E15" s="18">
        <v>292335.42</v>
      </c>
      <c r="F15" s="18"/>
      <c r="G15" s="18"/>
      <c r="H15" s="18"/>
      <c r="I15" s="18"/>
      <c r="J15" s="18"/>
      <c r="K15" s="18"/>
      <c r="L15" s="10"/>
      <c r="M15" s="18"/>
      <c r="N15" s="10"/>
      <c r="O15" s="18"/>
      <c r="P15" s="18"/>
      <c r="Q15" s="18"/>
      <c r="R15" s="18"/>
      <c r="S15" s="18"/>
    </row>
    <row r="16" spans="1:19" x14ac:dyDescent="0.25">
      <c r="A16" s="9" t="s">
        <v>27</v>
      </c>
      <c r="B16" s="17" t="s">
        <v>50</v>
      </c>
      <c r="C16" s="18">
        <f t="shared" si="2"/>
        <v>7171811.1500000004</v>
      </c>
      <c r="D16" s="18">
        <v>145358.04999999999</v>
      </c>
      <c r="E16" s="18">
        <v>198925.86</v>
      </c>
      <c r="F16" s="18"/>
      <c r="G16" s="18"/>
      <c r="H16" s="18">
        <v>3545124.32</v>
      </c>
      <c r="I16" s="18">
        <v>1010144.89</v>
      </c>
      <c r="J16" s="18">
        <v>2272258.0299999998</v>
      </c>
      <c r="K16" s="18"/>
      <c r="L16" s="10"/>
      <c r="M16" s="18"/>
      <c r="N16" s="10"/>
      <c r="O16" s="18"/>
      <c r="P16" s="18"/>
      <c r="Q16" s="18"/>
      <c r="R16" s="18"/>
      <c r="S16" s="18"/>
    </row>
    <row r="17" spans="1:19" x14ac:dyDescent="0.25">
      <c r="A17" s="9" t="s">
        <v>28</v>
      </c>
      <c r="B17" s="17" t="s">
        <v>51</v>
      </c>
      <c r="C17" s="18">
        <f t="shared" si="2"/>
        <v>447229.9</v>
      </c>
      <c r="D17" s="18"/>
      <c r="E17" s="18">
        <v>447229.9</v>
      </c>
      <c r="F17" s="18"/>
      <c r="G17" s="18"/>
      <c r="H17" s="18"/>
      <c r="I17" s="18"/>
      <c r="J17" s="18"/>
      <c r="K17" s="18"/>
      <c r="L17" s="10"/>
      <c r="M17" s="18"/>
      <c r="N17" s="10"/>
      <c r="O17" s="18"/>
      <c r="P17" s="18"/>
      <c r="Q17" s="18"/>
      <c r="R17" s="18"/>
      <c r="S17" s="18"/>
    </row>
    <row r="18" spans="1:19" x14ac:dyDescent="0.25">
      <c r="A18" s="9" t="s">
        <v>29</v>
      </c>
      <c r="B18" s="17" t="s">
        <v>52</v>
      </c>
      <c r="C18" s="18">
        <f>ROUNDUP(SUM(D18+E18+F18+G18+H18+I18+J18+K18+M18+O18+P18+Q18+R18+S18),2)</f>
        <v>181479.88</v>
      </c>
      <c r="D18" s="18"/>
      <c r="E18" s="18">
        <v>181479.88</v>
      </c>
      <c r="F18" s="18"/>
      <c r="G18" s="18"/>
      <c r="H18" s="18"/>
      <c r="I18" s="18"/>
      <c r="J18" s="18"/>
      <c r="K18" s="18"/>
      <c r="L18" s="10"/>
      <c r="M18" s="18"/>
      <c r="N18" s="10"/>
      <c r="O18" s="18"/>
      <c r="P18" s="18"/>
      <c r="Q18" s="18"/>
      <c r="R18" s="18"/>
      <c r="S18" s="18"/>
    </row>
    <row r="19" spans="1:19" x14ac:dyDescent="0.25">
      <c r="A19" s="9" t="s">
        <v>30</v>
      </c>
      <c r="B19" s="17" t="s">
        <v>53</v>
      </c>
      <c r="C19" s="18">
        <f t="shared" si="2"/>
        <v>277914.53999999998</v>
      </c>
      <c r="D19" s="18"/>
      <c r="E19" s="18">
        <v>277914.53999999998</v>
      </c>
      <c r="F19" s="18"/>
      <c r="G19" s="18"/>
      <c r="H19" s="18"/>
      <c r="I19" s="18"/>
      <c r="J19" s="18"/>
      <c r="K19" s="18"/>
      <c r="L19" s="10"/>
      <c r="M19" s="18"/>
      <c r="N19" s="10"/>
      <c r="O19" s="18"/>
      <c r="P19" s="18"/>
      <c r="Q19" s="18"/>
      <c r="R19" s="18"/>
      <c r="S19" s="18"/>
    </row>
    <row r="20" spans="1:19" x14ac:dyDescent="0.25">
      <c r="A20" s="9" t="s">
        <v>31</v>
      </c>
      <c r="B20" s="17" t="s">
        <v>54</v>
      </c>
      <c r="C20" s="18">
        <f>ROUNDUP(SUM(D20+E20+F20+G20+H20+I20+J20+K20+M20+O20+P20+Q20+R20+S20),2)</f>
        <v>2278396.02</v>
      </c>
      <c r="D20" s="18">
        <v>44098.15</v>
      </c>
      <c r="E20" s="18">
        <v>162989.51</v>
      </c>
      <c r="F20" s="18"/>
      <c r="G20" s="18"/>
      <c r="H20" s="18">
        <v>1012596.21</v>
      </c>
      <c r="I20" s="18">
        <v>263977.81</v>
      </c>
      <c r="J20" s="18">
        <v>794734.34</v>
      </c>
      <c r="K20" s="18"/>
      <c r="L20" s="10"/>
      <c r="M20" s="18"/>
      <c r="N20" s="10"/>
      <c r="O20" s="18"/>
      <c r="P20" s="18"/>
      <c r="Q20" s="18"/>
      <c r="R20" s="18"/>
      <c r="S20" s="18"/>
    </row>
    <row r="21" spans="1:19" x14ac:dyDescent="0.25">
      <c r="A21" s="9" t="s">
        <v>32</v>
      </c>
      <c r="B21" s="17" t="s">
        <v>55</v>
      </c>
      <c r="C21" s="18">
        <f t="shared" si="2"/>
        <v>2307613.06</v>
      </c>
      <c r="D21" s="18">
        <v>44705.22</v>
      </c>
      <c r="E21" s="18">
        <v>163085.66</v>
      </c>
      <c r="F21" s="18"/>
      <c r="G21" s="18"/>
      <c r="H21" s="18">
        <v>1064025.8799999999</v>
      </c>
      <c r="I21" s="18">
        <v>261346.44</v>
      </c>
      <c r="J21" s="18">
        <v>774449.86</v>
      </c>
      <c r="K21" s="18"/>
      <c r="L21" s="10"/>
      <c r="M21" s="18"/>
      <c r="N21" s="10"/>
      <c r="O21" s="18"/>
      <c r="P21" s="18"/>
      <c r="Q21" s="18"/>
      <c r="R21" s="18"/>
      <c r="S21" s="18"/>
    </row>
    <row r="22" spans="1:19" x14ac:dyDescent="0.25">
      <c r="A22" s="9" t="s">
        <v>33</v>
      </c>
      <c r="B22" s="17" t="s">
        <v>56</v>
      </c>
      <c r="C22" s="18">
        <f t="shared" si="2"/>
        <v>57531.199999999997</v>
      </c>
      <c r="D22" s="18"/>
      <c r="E22" s="18">
        <v>57531.199999999997</v>
      </c>
      <c r="F22" s="18"/>
      <c r="G22" s="18"/>
      <c r="H22" s="18"/>
      <c r="I22" s="18"/>
      <c r="J22" s="18"/>
      <c r="K22" s="18"/>
      <c r="L22" s="10"/>
      <c r="M22" s="18"/>
      <c r="N22" s="10"/>
      <c r="O22" s="18"/>
      <c r="P22" s="18"/>
      <c r="Q22" s="18"/>
      <c r="R22" s="18"/>
      <c r="S22" s="18"/>
    </row>
    <row r="23" spans="1:19" x14ac:dyDescent="0.25">
      <c r="A23" s="9" t="s">
        <v>34</v>
      </c>
      <c r="B23" s="17" t="s">
        <v>57</v>
      </c>
      <c r="C23" s="18">
        <f t="shared" si="2"/>
        <v>230786.82</v>
      </c>
      <c r="D23" s="18"/>
      <c r="E23" s="18">
        <v>230786.82</v>
      </c>
      <c r="F23" s="18"/>
      <c r="G23" s="18"/>
      <c r="H23" s="18"/>
      <c r="I23" s="18"/>
      <c r="J23" s="18"/>
      <c r="K23" s="18"/>
      <c r="L23" s="10"/>
      <c r="M23" s="18"/>
      <c r="N23" s="10"/>
      <c r="O23" s="18"/>
      <c r="P23" s="18"/>
      <c r="Q23" s="18"/>
      <c r="R23" s="18"/>
      <c r="S23" s="18"/>
    </row>
    <row r="24" spans="1:19" x14ac:dyDescent="0.25">
      <c r="A24" s="9" t="s">
        <v>35</v>
      </c>
      <c r="B24" s="17" t="s">
        <v>58</v>
      </c>
      <c r="C24" s="18">
        <f t="shared" si="2"/>
        <v>203717.98</v>
      </c>
      <c r="D24" s="18"/>
      <c r="E24" s="18">
        <v>203717.98</v>
      </c>
      <c r="F24" s="18"/>
      <c r="G24" s="18"/>
      <c r="H24" s="18"/>
      <c r="I24" s="18"/>
      <c r="J24" s="18"/>
      <c r="K24" s="18"/>
      <c r="L24" s="10"/>
      <c r="M24" s="18"/>
      <c r="N24" s="10"/>
      <c r="O24" s="18"/>
      <c r="P24" s="18"/>
      <c r="Q24" s="18"/>
      <c r="R24" s="18"/>
      <c r="S24" s="18"/>
    </row>
    <row r="25" spans="1:19" x14ac:dyDescent="0.25">
      <c r="A25" s="9" t="s">
        <v>36</v>
      </c>
      <c r="B25" s="17" t="s">
        <v>59</v>
      </c>
      <c r="C25" s="18">
        <f t="shared" si="2"/>
        <v>275087.14</v>
      </c>
      <c r="D25" s="18"/>
      <c r="E25" s="18">
        <v>275087.14</v>
      </c>
      <c r="F25" s="18"/>
      <c r="G25" s="18"/>
      <c r="H25" s="18"/>
      <c r="I25" s="18"/>
      <c r="J25" s="18"/>
      <c r="K25" s="18"/>
      <c r="L25" s="10"/>
      <c r="M25" s="18"/>
      <c r="N25" s="10"/>
      <c r="O25" s="18"/>
      <c r="P25" s="18"/>
      <c r="Q25" s="18"/>
      <c r="R25" s="18"/>
      <c r="S25" s="18"/>
    </row>
    <row r="26" spans="1:19" x14ac:dyDescent="0.25">
      <c r="A26" s="9" t="s">
        <v>37</v>
      </c>
      <c r="B26" s="17" t="s">
        <v>60</v>
      </c>
      <c r="C26" s="18">
        <f t="shared" si="2"/>
        <v>163036.93</v>
      </c>
      <c r="D26" s="18"/>
      <c r="E26" s="18">
        <v>163036.93</v>
      </c>
      <c r="F26" s="18"/>
      <c r="G26" s="18"/>
      <c r="H26" s="18"/>
      <c r="I26" s="18"/>
      <c r="J26" s="18"/>
      <c r="K26" s="18"/>
      <c r="L26" s="10"/>
      <c r="M26" s="18"/>
      <c r="N26" s="10"/>
      <c r="O26" s="18"/>
      <c r="P26" s="18"/>
      <c r="Q26" s="18"/>
      <c r="R26" s="18"/>
      <c r="S26" s="18"/>
    </row>
    <row r="27" spans="1:19" ht="30" x14ac:dyDescent="0.25">
      <c r="A27" s="17"/>
      <c r="B27" s="17" t="s">
        <v>61</v>
      </c>
      <c r="C27" s="18">
        <f>ROUND(D27+E27+F27+G27+H27+I27+J27+K27+M27+O27+P27+Q27+R27+S27,2)</f>
        <v>49118401.609999999</v>
      </c>
      <c r="D27" s="18">
        <f t="shared" ref="D27:S27" si="3">SUM(D11:D26)</f>
        <v>945649.07</v>
      </c>
      <c r="E27" s="18">
        <f t="shared" si="3"/>
        <v>3755228.84</v>
      </c>
      <c r="F27" s="18">
        <f t="shared" si="3"/>
        <v>0</v>
      </c>
      <c r="G27" s="18">
        <f t="shared" si="3"/>
        <v>5226470.4800000004</v>
      </c>
      <c r="H27" s="18">
        <f t="shared" si="3"/>
        <v>7042308.3899999997</v>
      </c>
      <c r="I27" s="18">
        <f t="shared" si="3"/>
        <v>1984865.65</v>
      </c>
      <c r="J27" s="18">
        <f t="shared" si="3"/>
        <v>5046979.16</v>
      </c>
      <c r="K27" s="18">
        <f t="shared" si="3"/>
        <v>0</v>
      </c>
      <c r="L27" s="10">
        <f t="shared" si="3"/>
        <v>0</v>
      </c>
      <c r="M27" s="18">
        <f t="shared" si="3"/>
        <v>0</v>
      </c>
      <c r="N27" s="18" t="s">
        <v>42</v>
      </c>
      <c r="O27" s="18">
        <f t="shared" si="3"/>
        <v>0</v>
      </c>
      <c r="P27" s="18">
        <f t="shared" si="3"/>
        <v>0</v>
      </c>
      <c r="Q27" s="18">
        <f t="shared" si="3"/>
        <v>0</v>
      </c>
      <c r="R27" s="18">
        <f t="shared" si="3"/>
        <v>25116900.02</v>
      </c>
      <c r="S27" s="18">
        <f t="shared" si="3"/>
        <v>0</v>
      </c>
    </row>
    <row r="28" spans="1:19" ht="15" customHeight="1" x14ac:dyDescent="0.25">
      <c r="A28" s="12"/>
      <c r="B28" s="12" t="s">
        <v>62</v>
      </c>
      <c r="C28" s="19"/>
      <c r="D28" s="13"/>
      <c r="E28" s="13"/>
      <c r="F28" s="13"/>
      <c r="G28" s="13"/>
      <c r="H28" s="13"/>
      <c r="I28" s="13"/>
      <c r="J28" s="13"/>
      <c r="K28" s="13"/>
      <c r="L28" s="14"/>
      <c r="M28" s="13"/>
      <c r="N28" s="14"/>
      <c r="O28" s="13"/>
      <c r="P28" s="13"/>
      <c r="Q28" s="13"/>
      <c r="R28" s="13"/>
      <c r="S28" s="13"/>
    </row>
    <row r="29" spans="1:19" x14ac:dyDescent="0.25">
      <c r="A29" s="9" t="s">
        <v>38</v>
      </c>
      <c r="B29" s="17" t="s">
        <v>63</v>
      </c>
      <c r="C29" s="18">
        <f>ROUND(SUM(D29+E29+F29+G29+H29+I29+J29+K29+M29+O29+P29+Q29+R29+S29),2)</f>
        <v>3307622.11</v>
      </c>
      <c r="D29" s="18">
        <v>69300.09</v>
      </c>
      <c r="E29" s="18"/>
      <c r="F29" s="18"/>
      <c r="G29" s="18"/>
      <c r="H29" s="18"/>
      <c r="I29" s="18"/>
      <c r="J29" s="18"/>
      <c r="K29" s="18"/>
      <c r="L29" s="10"/>
      <c r="M29" s="18"/>
      <c r="N29" s="10"/>
      <c r="O29" s="18"/>
      <c r="P29" s="18"/>
      <c r="Q29" s="18">
        <v>3238322.02</v>
      </c>
      <c r="R29" s="18"/>
      <c r="S29" s="18"/>
    </row>
    <row r="30" spans="1:19" x14ac:dyDescent="0.25">
      <c r="A30" s="9" t="s">
        <v>39</v>
      </c>
      <c r="B30" s="17" t="s">
        <v>64</v>
      </c>
      <c r="C30" s="18">
        <f>ROUND(SUM(D30+E30+F30+G30+H30+I30+J30+K30+M30+O30+P30+Q30+R30+S30),2)</f>
        <v>3855697.53</v>
      </c>
      <c r="D30" s="18">
        <v>80783.17</v>
      </c>
      <c r="E30" s="18"/>
      <c r="F30" s="18"/>
      <c r="G30" s="18"/>
      <c r="H30" s="18"/>
      <c r="I30" s="18"/>
      <c r="J30" s="18"/>
      <c r="K30" s="18"/>
      <c r="L30" s="10"/>
      <c r="M30" s="18"/>
      <c r="N30" s="10"/>
      <c r="O30" s="18"/>
      <c r="P30" s="18"/>
      <c r="Q30" s="18">
        <v>3103777.59</v>
      </c>
      <c r="R30" s="18"/>
      <c r="S30" s="18">
        <v>671136.77</v>
      </c>
    </row>
    <row r="31" spans="1:19" ht="21" customHeight="1" x14ac:dyDescent="0.25">
      <c r="A31" s="17"/>
      <c r="B31" s="17" t="s">
        <v>65</v>
      </c>
      <c r="C31" s="18">
        <f>ROUND(D31+E31+F31+G31+H31+I31+J31+K31+M31+O31+P31+Q31+R31+S31,2)</f>
        <v>7163319.6399999997</v>
      </c>
      <c r="D31" s="18">
        <f t="shared" ref="D31:S31" si="4">SUM(D29:D30)</f>
        <v>150083.26</v>
      </c>
      <c r="E31" s="18">
        <f t="shared" si="4"/>
        <v>0</v>
      </c>
      <c r="F31" s="18">
        <f t="shared" si="4"/>
        <v>0</v>
      </c>
      <c r="G31" s="18">
        <f t="shared" si="4"/>
        <v>0</v>
      </c>
      <c r="H31" s="18">
        <f t="shared" si="4"/>
        <v>0</v>
      </c>
      <c r="I31" s="18">
        <f t="shared" si="4"/>
        <v>0</v>
      </c>
      <c r="J31" s="18">
        <f t="shared" si="4"/>
        <v>0</v>
      </c>
      <c r="K31" s="18">
        <f t="shared" si="4"/>
        <v>0</v>
      </c>
      <c r="L31" s="10">
        <f t="shared" si="4"/>
        <v>0</v>
      </c>
      <c r="M31" s="18">
        <f t="shared" si="4"/>
        <v>0</v>
      </c>
      <c r="N31" s="18" t="s">
        <v>42</v>
      </c>
      <c r="O31" s="18">
        <f t="shared" si="4"/>
        <v>0</v>
      </c>
      <c r="P31" s="18">
        <f t="shared" si="4"/>
        <v>0</v>
      </c>
      <c r="Q31" s="18">
        <f t="shared" si="4"/>
        <v>6342099.6099999994</v>
      </c>
      <c r="R31" s="18">
        <f t="shared" si="4"/>
        <v>0</v>
      </c>
      <c r="S31" s="18">
        <f t="shared" si="4"/>
        <v>671136.77</v>
      </c>
    </row>
    <row r="32" spans="1:19" ht="15" customHeight="1" x14ac:dyDescent="0.25">
      <c r="A32" s="12"/>
      <c r="B32" s="12" t="s">
        <v>66</v>
      </c>
      <c r="C32" s="19"/>
      <c r="D32" s="13"/>
      <c r="E32" s="13"/>
      <c r="F32" s="13"/>
      <c r="G32" s="13"/>
      <c r="H32" s="13"/>
      <c r="I32" s="13"/>
      <c r="J32" s="13"/>
      <c r="K32" s="13"/>
      <c r="L32" s="14"/>
      <c r="M32" s="13"/>
      <c r="N32" s="14"/>
      <c r="O32" s="13"/>
      <c r="P32" s="13"/>
      <c r="Q32" s="13"/>
      <c r="R32" s="13"/>
      <c r="S32" s="13"/>
    </row>
    <row r="33" spans="1:19" x14ac:dyDescent="0.25">
      <c r="A33" s="9" t="s">
        <v>40</v>
      </c>
      <c r="B33" s="17" t="s">
        <v>67</v>
      </c>
      <c r="C33" s="18">
        <f t="shared" ref="C33:C64" si="5">ROUNDUP(SUM(D33+E33+F33+G33+H33+I33+J33+K33+M33+O33+P33+Q33+R33+S33),2)</f>
        <v>195413.96</v>
      </c>
      <c r="D33" s="18"/>
      <c r="E33" s="18">
        <v>195413.96</v>
      </c>
      <c r="F33" s="18"/>
      <c r="G33" s="18"/>
      <c r="H33" s="18"/>
      <c r="I33" s="18"/>
      <c r="J33" s="18"/>
      <c r="K33" s="18"/>
      <c r="L33" s="10"/>
      <c r="M33" s="18"/>
      <c r="N33" s="10"/>
      <c r="O33" s="18"/>
      <c r="P33" s="18"/>
      <c r="Q33" s="18"/>
      <c r="R33" s="18"/>
      <c r="S33" s="18"/>
    </row>
    <row r="34" spans="1:19" x14ac:dyDescent="0.25">
      <c r="A34" s="9" t="s">
        <v>68</v>
      </c>
      <c r="B34" s="17" t="s">
        <v>69</v>
      </c>
      <c r="C34" s="18">
        <f t="shared" si="5"/>
        <v>324012.61</v>
      </c>
      <c r="D34" s="18"/>
      <c r="E34" s="18">
        <v>324012.61</v>
      </c>
      <c r="F34" s="18"/>
      <c r="G34" s="18"/>
      <c r="H34" s="18"/>
      <c r="I34" s="18"/>
      <c r="J34" s="18"/>
      <c r="K34" s="18"/>
      <c r="L34" s="10"/>
      <c r="M34" s="18"/>
      <c r="N34" s="10"/>
      <c r="O34" s="18"/>
      <c r="P34" s="18"/>
      <c r="Q34" s="18"/>
      <c r="R34" s="18"/>
      <c r="S34" s="18"/>
    </row>
    <row r="35" spans="1:19" x14ac:dyDescent="0.25">
      <c r="A35" s="9" t="s">
        <v>70</v>
      </c>
      <c r="B35" s="17" t="s">
        <v>71</v>
      </c>
      <c r="C35" s="18">
        <f t="shared" si="5"/>
        <v>64243.22</v>
      </c>
      <c r="D35" s="18"/>
      <c r="E35" s="18">
        <v>64243.22</v>
      </c>
      <c r="F35" s="18"/>
      <c r="G35" s="18"/>
      <c r="H35" s="18"/>
      <c r="I35" s="18"/>
      <c r="J35" s="18"/>
      <c r="K35" s="18"/>
      <c r="L35" s="10"/>
      <c r="M35" s="18"/>
      <c r="N35" s="10"/>
      <c r="O35" s="18"/>
      <c r="P35" s="18"/>
      <c r="Q35" s="18"/>
      <c r="R35" s="18"/>
      <c r="S35" s="18"/>
    </row>
    <row r="36" spans="1:19" x14ac:dyDescent="0.25">
      <c r="A36" s="9" t="s">
        <v>72</v>
      </c>
      <c r="B36" s="17" t="s">
        <v>73</v>
      </c>
      <c r="C36" s="18">
        <f t="shared" si="5"/>
        <v>130036.8</v>
      </c>
      <c r="D36" s="18"/>
      <c r="E36" s="18">
        <v>130036.8</v>
      </c>
      <c r="F36" s="18"/>
      <c r="G36" s="18"/>
      <c r="H36" s="18"/>
      <c r="I36" s="18"/>
      <c r="J36" s="18"/>
      <c r="K36" s="18"/>
      <c r="L36" s="10"/>
      <c r="M36" s="18"/>
      <c r="N36" s="10"/>
      <c r="O36" s="18"/>
      <c r="P36" s="18"/>
      <c r="Q36" s="18"/>
      <c r="R36" s="18"/>
      <c r="S36" s="18"/>
    </row>
    <row r="37" spans="1:19" x14ac:dyDescent="0.25">
      <c r="A37" s="9" t="s">
        <v>74</v>
      </c>
      <c r="B37" s="17" t="s">
        <v>75</v>
      </c>
      <c r="C37" s="18">
        <f t="shared" si="5"/>
        <v>98279.24</v>
      </c>
      <c r="D37" s="18"/>
      <c r="E37" s="18">
        <v>98279.24</v>
      </c>
      <c r="F37" s="18"/>
      <c r="G37" s="18"/>
      <c r="H37" s="18"/>
      <c r="I37" s="18"/>
      <c r="J37" s="18"/>
      <c r="K37" s="18"/>
      <c r="L37" s="10"/>
      <c r="M37" s="18"/>
      <c r="N37" s="10"/>
      <c r="O37" s="18"/>
      <c r="P37" s="18"/>
      <c r="Q37" s="18"/>
      <c r="R37" s="18"/>
      <c r="S37" s="18"/>
    </row>
    <row r="38" spans="1:19" x14ac:dyDescent="0.25">
      <c r="A38" s="9" t="s">
        <v>76</v>
      </c>
      <c r="B38" s="17" t="s">
        <v>77</v>
      </c>
      <c r="C38" s="18">
        <f t="shared" si="5"/>
        <v>182249.44</v>
      </c>
      <c r="D38" s="18"/>
      <c r="E38" s="18">
        <v>182249.44</v>
      </c>
      <c r="F38" s="18"/>
      <c r="G38" s="18"/>
      <c r="H38" s="18"/>
      <c r="I38" s="18"/>
      <c r="J38" s="18"/>
      <c r="K38" s="18"/>
      <c r="L38" s="10"/>
      <c r="M38" s="18"/>
      <c r="N38" s="10"/>
      <c r="O38" s="18"/>
      <c r="P38" s="18"/>
      <c r="Q38" s="18"/>
      <c r="R38" s="18"/>
      <c r="S38" s="18"/>
    </row>
    <row r="39" spans="1:19" x14ac:dyDescent="0.25">
      <c r="A39" s="9" t="s">
        <v>78</v>
      </c>
      <c r="B39" s="17" t="s">
        <v>79</v>
      </c>
      <c r="C39" s="18">
        <f t="shared" si="5"/>
        <v>123037.64</v>
      </c>
      <c r="D39" s="18"/>
      <c r="E39" s="18">
        <v>123037.64</v>
      </c>
      <c r="F39" s="18"/>
      <c r="G39" s="18"/>
      <c r="H39" s="18"/>
      <c r="I39" s="18"/>
      <c r="J39" s="18"/>
      <c r="K39" s="18"/>
      <c r="L39" s="10"/>
      <c r="M39" s="18"/>
      <c r="N39" s="10"/>
      <c r="O39" s="18"/>
      <c r="P39" s="18"/>
      <c r="Q39" s="18"/>
      <c r="R39" s="18"/>
      <c r="S39" s="18"/>
    </row>
    <row r="40" spans="1:19" x14ac:dyDescent="0.25">
      <c r="A40" s="9" t="s">
        <v>80</v>
      </c>
      <c r="B40" s="17" t="s">
        <v>81</v>
      </c>
      <c r="C40" s="18">
        <f t="shared" si="5"/>
        <v>148253.54</v>
      </c>
      <c r="D40" s="18"/>
      <c r="E40" s="18">
        <v>148253.54</v>
      </c>
      <c r="F40" s="18"/>
      <c r="G40" s="18"/>
      <c r="H40" s="18"/>
      <c r="I40" s="18"/>
      <c r="J40" s="18"/>
      <c r="K40" s="18"/>
      <c r="L40" s="10"/>
      <c r="M40" s="18"/>
      <c r="N40" s="10"/>
      <c r="O40" s="18"/>
      <c r="P40" s="18"/>
      <c r="Q40" s="18"/>
      <c r="R40" s="18"/>
      <c r="S40" s="18"/>
    </row>
    <row r="41" spans="1:19" x14ac:dyDescent="0.25">
      <c r="A41" s="9" t="s">
        <v>82</v>
      </c>
      <c r="B41" s="17" t="s">
        <v>83</v>
      </c>
      <c r="C41" s="18">
        <f t="shared" si="5"/>
        <v>515984.53</v>
      </c>
      <c r="D41" s="18"/>
      <c r="E41" s="18">
        <v>515984.53</v>
      </c>
      <c r="F41" s="18"/>
      <c r="G41" s="18"/>
      <c r="H41" s="18"/>
      <c r="I41" s="18"/>
      <c r="J41" s="18"/>
      <c r="K41" s="18"/>
      <c r="L41" s="10"/>
      <c r="M41" s="18"/>
      <c r="N41" s="10"/>
      <c r="O41" s="18"/>
      <c r="P41" s="18"/>
      <c r="Q41" s="18"/>
      <c r="R41" s="18"/>
      <c r="S41" s="18"/>
    </row>
    <row r="42" spans="1:19" x14ac:dyDescent="0.25">
      <c r="A42" s="9" t="s">
        <v>84</v>
      </c>
      <c r="B42" s="17" t="s">
        <v>85</v>
      </c>
      <c r="C42" s="18">
        <f t="shared" si="5"/>
        <v>8143383.3300000001</v>
      </c>
      <c r="D42" s="18">
        <v>127249.39</v>
      </c>
      <c r="E42" s="18">
        <v>207115.49</v>
      </c>
      <c r="F42" s="18">
        <v>2168607.2599999998</v>
      </c>
      <c r="G42" s="18"/>
      <c r="H42" s="18"/>
      <c r="I42" s="18"/>
      <c r="J42" s="18"/>
      <c r="K42" s="18"/>
      <c r="L42" s="10">
        <v>2</v>
      </c>
      <c r="M42" s="18">
        <v>5640411.1900000004</v>
      </c>
      <c r="N42" s="10"/>
      <c r="O42" s="18"/>
      <c r="P42" s="18"/>
      <c r="Q42" s="18"/>
      <c r="R42" s="18"/>
      <c r="S42" s="18"/>
    </row>
    <row r="43" spans="1:19" x14ac:dyDescent="0.25">
      <c r="A43" s="9" t="s">
        <v>86</v>
      </c>
      <c r="B43" s="17" t="s">
        <v>87</v>
      </c>
      <c r="C43" s="18">
        <f t="shared" si="5"/>
        <v>336730.94</v>
      </c>
      <c r="D43" s="18"/>
      <c r="E43" s="18">
        <v>336730.94</v>
      </c>
      <c r="F43" s="18"/>
      <c r="G43" s="18"/>
      <c r="H43" s="18"/>
      <c r="I43" s="18"/>
      <c r="J43" s="18"/>
      <c r="K43" s="18"/>
      <c r="L43" s="10"/>
      <c r="M43" s="18"/>
      <c r="N43" s="10"/>
      <c r="O43" s="18"/>
      <c r="P43" s="18"/>
      <c r="Q43" s="18"/>
      <c r="R43" s="18"/>
      <c r="S43" s="18"/>
    </row>
    <row r="44" spans="1:19" x14ac:dyDescent="0.25">
      <c r="A44" s="9" t="s">
        <v>88</v>
      </c>
      <c r="B44" s="17" t="s">
        <v>89</v>
      </c>
      <c r="C44" s="18">
        <f t="shared" si="5"/>
        <v>397205.86</v>
      </c>
      <c r="D44" s="18"/>
      <c r="E44" s="18">
        <v>397205.86</v>
      </c>
      <c r="F44" s="18"/>
      <c r="G44" s="18"/>
      <c r="H44" s="18"/>
      <c r="I44" s="18"/>
      <c r="J44" s="18"/>
      <c r="K44" s="18"/>
      <c r="L44" s="10"/>
      <c r="M44" s="18"/>
      <c r="N44" s="10"/>
      <c r="O44" s="18"/>
      <c r="P44" s="18"/>
      <c r="Q44" s="18"/>
      <c r="R44" s="18"/>
      <c r="S44" s="18"/>
    </row>
    <row r="45" spans="1:19" x14ac:dyDescent="0.25">
      <c r="A45" s="9" t="s">
        <v>90</v>
      </c>
      <c r="B45" s="17" t="s">
        <v>91</v>
      </c>
      <c r="C45" s="18">
        <f t="shared" si="5"/>
        <v>417673.2</v>
      </c>
      <c r="D45" s="18"/>
      <c r="E45" s="18">
        <v>417673.2</v>
      </c>
      <c r="F45" s="18"/>
      <c r="G45" s="18"/>
      <c r="H45" s="18"/>
      <c r="I45" s="18"/>
      <c r="J45" s="18"/>
      <c r="K45" s="18"/>
      <c r="L45" s="10"/>
      <c r="M45" s="18"/>
      <c r="N45" s="10"/>
      <c r="O45" s="18"/>
      <c r="P45" s="18"/>
      <c r="Q45" s="18"/>
      <c r="R45" s="18"/>
      <c r="S45" s="18"/>
    </row>
    <row r="46" spans="1:19" x14ac:dyDescent="0.25">
      <c r="A46" s="9" t="s">
        <v>92</v>
      </c>
      <c r="B46" s="17" t="s">
        <v>93</v>
      </c>
      <c r="C46" s="18">
        <f t="shared" si="5"/>
        <v>296739.32</v>
      </c>
      <c r="D46" s="18"/>
      <c r="E46" s="18">
        <v>296739.32</v>
      </c>
      <c r="F46" s="18"/>
      <c r="G46" s="18"/>
      <c r="H46" s="18"/>
      <c r="I46" s="18"/>
      <c r="J46" s="18"/>
      <c r="K46" s="18"/>
      <c r="L46" s="10"/>
      <c r="M46" s="18"/>
      <c r="N46" s="10"/>
      <c r="O46" s="18"/>
      <c r="P46" s="18"/>
      <c r="Q46" s="18"/>
      <c r="R46" s="18"/>
      <c r="S46" s="18"/>
    </row>
    <row r="47" spans="1:19" x14ac:dyDescent="0.25">
      <c r="A47" s="9" t="s">
        <v>94</v>
      </c>
      <c r="B47" s="17" t="s">
        <v>95</v>
      </c>
      <c r="C47" s="18">
        <f t="shared" si="5"/>
        <v>224931.36</v>
      </c>
      <c r="D47" s="18"/>
      <c r="E47" s="18">
        <v>224931.36</v>
      </c>
      <c r="F47" s="18"/>
      <c r="G47" s="18"/>
      <c r="H47" s="18"/>
      <c r="I47" s="18"/>
      <c r="J47" s="18"/>
      <c r="K47" s="18"/>
      <c r="L47" s="10"/>
      <c r="M47" s="18"/>
      <c r="N47" s="10"/>
      <c r="O47" s="18"/>
      <c r="P47" s="18"/>
      <c r="Q47" s="18"/>
      <c r="R47" s="18"/>
      <c r="S47" s="18"/>
    </row>
    <row r="48" spans="1:19" x14ac:dyDescent="0.25">
      <c r="A48" s="9" t="s">
        <v>96</v>
      </c>
      <c r="B48" s="17" t="s">
        <v>97</v>
      </c>
      <c r="C48" s="18">
        <f t="shared" si="5"/>
        <v>184464.02</v>
      </c>
      <c r="D48" s="18"/>
      <c r="E48" s="18">
        <v>184464.02</v>
      </c>
      <c r="F48" s="18"/>
      <c r="G48" s="18"/>
      <c r="H48" s="18"/>
      <c r="I48" s="18"/>
      <c r="J48" s="18"/>
      <c r="K48" s="18"/>
      <c r="L48" s="10"/>
      <c r="M48" s="18"/>
      <c r="N48" s="10"/>
      <c r="O48" s="18"/>
      <c r="P48" s="18"/>
      <c r="Q48" s="18"/>
      <c r="R48" s="18"/>
      <c r="S48" s="18"/>
    </row>
    <row r="49" spans="1:19" x14ac:dyDescent="0.25">
      <c r="A49" s="9" t="s">
        <v>98</v>
      </c>
      <c r="B49" s="17" t="s">
        <v>99</v>
      </c>
      <c r="C49" s="18">
        <f t="shared" si="5"/>
        <v>407371.1</v>
      </c>
      <c r="D49" s="18"/>
      <c r="E49" s="18">
        <v>407371.1</v>
      </c>
      <c r="F49" s="18"/>
      <c r="G49" s="18"/>
      <c r="H49" s="18"/>
      <c r="I49" s="18"/>
      <c r="J49" s="18"/>
      <c r="K49" s="18"/>
      <c r="L49" s="10"/>
      <c r="M49" s="18"/>
      <c r="N49" s="10"/>
      <c r="O49" s="18"/>
      <c r="P49" s="18"/>
      <c r="Q49" s="18"/>
      <c r="R49" s="18"/>
      <c r="S49" s="18"/>
    </row>
    <row r="50" spans="1:19" x14ac:dyDescent="0.25">
      <c r="A50" s="9" t="s">
        <v>100</v>
      </c>
      <c r="B50" s="17" t="s">
        <v>101</v>
      </c>
      <c r="C50" s="18">
        <f t="shared" si="5"/>
        <v>250826.79</v>
      </c>
      <c r="D50" s="18"/>
      <c r="E50" s="18">
        <v>250826.79</v>
      </c>
      <c r="F50" s="18"/>
      <c r="G50" s="18"/>
      <c r="H50" s="18"/>
      <c r="I50" s="18"/>
      <c r="J50" s="18"/>
      <c r="K50" s="18"/>
      <c r="L50" s="10"/>
      <c r="M50" s="18"/>
      <c r="N50" s="10"/>
      <c r="O50" s="18"/>
      <c r="P50" s="18"/>
      <c r="Q50" s="18"/>
      <c r="R50" s="18"/>
      <c r="S50" s="18"/>
    </row>
    <row r="51" spans="1:19" x14ac:dyDescent="0.25">
      <c r="A51" s="9" t="s">
        <v>102</v>
      </c>
      <c r="B51" s="17" t="s">
        <v>103</v>
      </c>
      <c r="C51" s="18">
        <f t="shared" si="5"/>
        <v>334247.43</v>
      </c>
      <c r="D51" s="18"/>
      <c r="E51" s="18">
        <v>334247.43</v>
      </c>
      <c r="F51" s="18"/>
      <c r="G51" s="18"/>
      <c r="H51" s="18"/>
      <c r="I51" s="18"/>
      <c r="J51" s="18"/>
      <c r="K51" s="18"/>
      <c r="L51" s="10"/>
      <c r="M51" s="18"/>
      <c r="N51" s="10"/>
      <c r="O51" s="18"/>
      <c r="P51" s="18"/>
      <c r="Q51" s="18"/>
      <c r="R51" s="18"/>
      <c r="S51" s="18"/>
    </row>
    <row r="52" spans="1:19" x14ac:dyDescent="0.25">
      <c r="A52" s="9" t="s">
        <v>104</v>
      </c>
      <c r="B52" s="17" t="s">
        <v>105</v>
      </c>
      <c r="C52" s="18">
        <f t="shared" si="5"/>
        <v>160042.47</v>
      </c>
      <c r="D52" s="18"/>
      <c r="E52" s="18">
        <v>160042.47</v>
      </c>
      <c r="F52" s="18"/>
      <c r="G52" s="18"/>
      <c r="H52" s="18"/>
      <c r="I52" s="18"/>
      <c r="J52" s="18"/>
      <c r="K52" s="18"/>
      <c r="L52" s="10"/>
      <c r="M52" s="18"/>
      <c r="N52" s="10"/>
      <c r="O52" s="18"/>
      <c r="P52" s="18"/>
      <c r="Q52" s="18"/>
      <c r="R52" s="18"/>
      <c r="S52" s="18"/>
    </row>
    <row r="53" spans="1:19" x14ac:dyDescent="0.25">
      <c r="A53" s="9" t="s">
        <v>106</v>
      </c>
      <c r="B53" s="17" t="s">
        <v>107</v>
      </c>
      <c r="C53" s="18">
        <f t="shared" si="5"/>
        <v>241031.65</v>
      </c>
      <c r="D53" s="18"/>
      <c r="E53" s="18">
        <v>241031.65</v>
      </c>
      <c r="F53" s="18"/>
      <c r="G53" s="18"/>
      <c r="H53" s="18"/>
      <c r="I53" s="18"/>
      <c r="J53" s="18"/>
      <c r="K53" s="18"/>
      <c r="L53" s="10"/>
      <c r="M53" s="18"/>
      <c r="N53" s="10"/>
      <c r="O53" s="18"/>
      <c r="P53" s="18"/>
      <c r="Q53" s="18"/>
      <c r="R53" s="18"/>
      <c r="S53" s="18"/>
    </row>
    <row r="54" spans="1:19" x14ac:dyDescent="0.25">
      <c r="A54" s="9" t="s">
        <v>108</v>
      </c>
      <c r="B54" s="17" t="s">
        <v>109</v>
      </c>
      <c r="C54" s="18">
        <f t="shared" si="5"/>
        <v>250913.05</v>
      </c>
      <c r="D54" s="18"/>
      <c r="E54" s="18">
        <v>250913.05</v>
      </c>
      <c r="F54" s="18"/>
      <c r="G54" s="18"/>
      <c r="H54" s="18"/>
      <c r="I54" s="18"/>
      <c r="J54" s="18"/>
      <c r="K54" s="18"/>
      <c r="L54" s="10"/>
      <c r="M54" s="18"/>
      <c r="N54" s="10"/>
      <c r="O54" s="18"/>
      <c r="P54" s="18"/>
      <c r="Q54" s="18"/>
      <c r="R54" s="18"/>
      <c r="S54" s="18"/>
    </row>
    <row r="55" spans="1:19" x14ac:dyDescent="0.25">
      <c r="A55" s="9" t="s">
        <v>110</v>
      </c>
      <c r="B55" s="17" t="s">
        <v>111</v>
      </c>
      <c r="C55" s="18">
        <f t="shared" si="5"/>
        <v>249022.48</v>
      </c>
      <c r="D55" s="18"/>
      <c r="E55" s="18">
        <v>249022.48</v>
      </c>
      <c r="F55" s="18"/>
      <c r="G55" s="18"/>
      <c r="H55" s="18"/>
      <c r="I55" s="18"/>
      <c r="J55" s="18"/>
      <c r="K55" s="18"/>
      <c r="L55" s="10"/>
      <c r="M55" s="18"/>
      <c r="N55" s="10"/>
      <c r="O55" s="18"/>
      <c r="P55" s="18"/>
      <c r="Q55" s="18"/>
      <c r="R55" s="18"/>
      <c r="S55" s="18"/>
    </row>
    <row r="56" spans="1:19" x14ac:dyDescent="0.25">
      <c r="A56" s="9" t="s">
        <v>112</v>
      </c>
      <c r="B56" s="17" t="s">
        <v>113</v>
      </c>
      <c r="C56" s="18">
        <f t="shared" si="5"/>
        <v>336443.38</v>
      </c>
      <c r="D56" s="18"/>
      <c r="E56" s="18">
        <v>336443.38</v>
      </c>
      <c r="F56" s="18"/>
      <c r="G56" s="18"/>
      <c r="H56" s="18"/>
      <c r="I56" s="18"/>
      <c r="J56" s="18"/>
      <c r="K56" s="18"/>
      <c r="L56" s="10"/>
      <c r="M56" s="18"/>
      <c r="N56" s="10"/>
      <c r="O56" s="18"/>
      <c r="P56" s="18"/>
      <c r="Q56" s="18"/>
      <c r="R56" s="18"/>
      <c r="S56" s="18"/>
    </row>
    <row r="57" spans="1:19" x14ac:dyDescent="0.25">
      <c r="A57" s="9" t="s">
        <v>114</v>
      </c>
      <c r="B57" s="17" t="s">
        <v>115</v>
      </c>
      <c r="C57" s="18">
        <f t="shared" si="5"/>
        <v>126777.26</v>
      </c>
      <c r="D57" s="18"/>
      <c r="E57" s="18">
        <v>126777.26</v>
      </c>
      <c r="F57" s="18"/>
      <c r="G57" s="18"/>
      <c r="H57" s="18"/>
      <c r="I57" s="18"/>
      <c r="J57" s="18"/>
      <c r="K57" s="18"/>
      <c r="L57" s="10"/>
      <c r="M57" s="18"/>
      <c r="N57" s="10"/>
      <c r="O57" s="18"/>
      <c r="P57" s="18"/>
      <c r="Q57" s="18"/>
      <c r="R57" s="18"/>
      <c r="S57" s="18"/>
    </row>
    <row r="58" spans="1:19" x14ac:dyDescent="0.25">
      <c r="A58" s="9" t="s">
        <v>116</v>
      </c>
      <c r="B58" s="17" t="s">
        <v>117</v>
      </c>
      <c r="C58" s="18">
        <f t="shared" si="5"/>
        <v>335731.84</v>
      </c>
      <c r="D58" s="18"/>
      <c r="E58" s="18">
        <v>335731.84</v>
      </c>
      <c r="F58" s="18"/>
      <c r="G58" s="18"/>
      <c r="H58" s="18"/>
      <c r="I58" s="18"/>
      <c r="J58" s="18"/>
      <c r="K58" s="18"/>
      <c r="L58" s="10"/>
      <c r="M58" s="18"/>
      <c r="N58" s="10"/>
      <c r="O58" s="18"/>
      <c r="P58" s="18"/>
      <c r="Q58" s="18"/>
      <c r="R58" s="18"/>
      <c r="S58" s="18"/>
    </row>
    <row r="59" spans="1:19" x14ac:dyDescent="0.25">
      <c r="A59" s="9" t="s">
        <v>118</v>
      </c>
      <c r="B59" s="17" t="s">
        <v>119</v>
      </c>
      <c r="C59" s="18">
        <f t="shared" si="5"/>
        <v>397368.4</v>
      </c>
      <c r="D59" s="18"/>
      <c r="E59" s="18">
        <v>397368.4</v>
      </c>
      <c r="F59" s="18"/>
      <c r="G59" s="18"/>
      <c r="H59" s="18"/>
      <c r="I59" s="18"/>
      <c r="J59" s="18"/>
      <c r="K59" s="18"/>
      <c r="L59" s="10"/>
      <c r="M59" s="18"/>
      <c r="N59" s="10"/>
      <c r="O59" s="18"/>
      <c r="P59" s="18"/>
      <c r="Q59" s="18"/>
      <c r="R59" s="18"/>
      <c r="S59" s="18"/>
    </row>
    <row r="60" spans="1:19" x14ac:dyDescent="0.25">
      <c r="A60" s="9" t="s">
        <v>120</v>
      </c>
      <c r="B60" s="17" t="s">
        <v>121</v>
      </c>
      <c r="C60" s="18">
        <f t="shared" si="5"/>
        <v>407975.19</v>
      </c>
      <c r="D60" s="18"/>
      <c r="E60" s="18">
        <v>407975.19</v>
      </c>
      <c r="F60" s="18"/>
      <c r="G60" s="18"/>
      <c r="H60" s="18"/>
      <c r="I60" s="18"/>
      <c r="J60" s="18"/>
      <c r="K60" s="18"/>
      <c r="L60" s="10"/>
      <c r="M60" s="18"/>
      <c r="N60" s="10"/>
      <c r="O60" s="18"/>
      <c r="P60" s="18"/>
      <c r="Q60" s="18"/>
      <c r="R60" s="18"/>
      <c r="S60" s="18"/>
    </row>
    <row r="61" spans="1:19" x14ac:dyDescent="0.25">
      <c r="A61" s="9" t="s">
        <v>122</v>
      </c>
      <c r="B61" s="17" t="s">
        <v>123</v>
      </c>
      <c r="C61" s="18">
        <f t="shared" si="5"/>
        <v>5830379.5700000003</v>
      </c>
      <c r="D61" s="18">
        <v>114953.39</v>
      </c>
      <c r="E61" s="18">
        <v>75014.990000000005</v>
      </c>
      <c r="F61" s="18"/>
      <c r="G61" s="18"/>
      <c r="H61" s="18"/>
      <c r="I61" s="18"/>
      <c r="J61" s="18"/>
      <c r="K61" s="18"/>
      <c r="L61" s="10">
        <v>2</v>
      </c>
      <c r="M61" s="18">
        <v>5640411.1900000004</v>
      </c>
      <c r="N61" s="10"/>
      <c r="O61" s="18"/>
      <c r="P61" s="18"/>
      <c r="Q61" s="18"/>
      <c r="R61" s="18"/>
      <c r="S61" s="18"/>
    </row>
    <row r="62" spans="1:19" x14ac:dyDescent="0.25">
      <c r="A62" s="9" t="s">
        <v>124</v>
      </c>
      <c r="B62" s="17" t="s">
        <v>125</v>
      </c>
      <c r="C62" s="18">
        <f t="shared" si="5"/>
        <v>98813.56</v>
      </c>
      <c r="D62" s="18"/>
      <c r="E62" s="18">
        <v>98813.56</v>
      </c>
      <c r="F62" s="18"/>
      <c r="G62" s="18"/>
      <c r="H62" s="18"/>
      <c r="I62" s="18"/>
      <c r="J62" s="18"/>
      <c r="K62" s="18"/>
      <c r="L62" s="10"/>
      <c r="M62" s="18"/>
      <c r="N62" s="10"/>
      <c r="O62" s="18"/>
      <c r="P62" s="18"/>
      <c r="Q62" s="18"/>
      <c r="R62" s="18"/>
      <c r="S62" s="18"/>
    </row>
    <row r="63" spans="1:19" x14ac:dyDescent="0.25">
      <c r="A63" s="9" t="s">
        <v>126</v>
      </c>
      <c r="B63" s="17" t="s">
        <v>127</v>
      </c>
      <c r="C63" s="18">
        <f t="shared" si="5"/>
        <v>101306.32</v>
      </c>
      <c r="D63" s="18"/>
      <c r="E63" s="18">
        <v>101306.32</v>
      </c>
      <c r="F63" s="18"/>
      <c r="G63" s="18"/>
      <c r="H63" s="18"/>
      <c r="I63" s="18"/>
      <c r="J63" s="18"/>
      <c r="K63" s="18"/>
      <c r="L63" s="10"/>
      <c r="M63" s="18"/>
      <c r="N63" s="10"/>
      <c r="O63" s="18"/>
      <c r="P63" s="18"/>
      <c r="Q63" s="18"/>
      <c r="R63" s="18"/>
      <c r="S63" s="18"/>
    </row>
    <row r="64" spans="1:19" x14ac:dyDescent="0.25">
      <c r="A64" s="9" t="s">
        <v>128</v>
      </c>
      <c r="B64" s="17" t="s">
        <v>129</v>
      </c>
      <c r="C64" s="18">
        <f t="shared" si="5"/>
        <v>575736.12</v>
      </c>
      <c r="D64" s="18"/>
      <c r="E64" s="18">
        <v>575736.12</v>
      </c>
      <c r="F64" s="18"/>
      <c r="G64" s="18"/>
      <c r="H64" s="18"/>
      <c r="I64" s="18"/>
      <c r="J64" s="18"/>
      <c r="K64" s="18"/>
      <c r="L64" s="10"/>
      <c r="M64" s="18"/>
      <c r="N64" s="10"/>
      <c r="O64" s="18"/>
      <c r="P64" s="18"/>
      <c r="Q64" s="18"/>
      <c r="R64" s="18"/>
      <c r="S64" s="18"/>
    </row>
    <row r="65" spans="1:19" x14ac:dyDescent="0.25">
      <c r="A65" s="9" t="s">
        <v>130</v>
      </c>
      <c r="B65" s="17" t="s">
        <v>131</v>
      </c>
      <c r="C65" s="18">
        <f t="shared" ref="C65:C82" si="6">ROUNDUP(SUM(D65+E65+F65+G65+H65+I65+J65+K65+M65+O65+P65+Q65+R65+S65),2)</f>
        <v>576822.36</v>
      </c>
      <c r="D65" s="18"/>
      <c r="E65" s="18">
        <v>576822.36</v>
      </c>
      <c r="F65" s="18"/>
      <c r="G65" s="18"/>
      <c r="H65" s="18"/>
      <c r="I65" s="18"/>
      <c r="J65" s="18"/>
      <c r="K65" s="18"/>
      <c r="L65" s="10"/>
      <c r="M65" s="18"/>
      <c r="N65" s="10"/>
      <c r="O65" s="18"/>
      <c r="P65" s="18"/>
      <c r="Q65" s="18"/>
      <c r="R65" s="18"/>
      <c r="S65" s="18"/>
    </row>
    <row r="66" spans="1:19" x14ac:dyDescent="0.25">
      <c r="A66" s="9" t="s">
        <v>132</v>
      </c>
      <c r="B66" s="17" t="s">
        <v>133</v>
      </c>
      <c r="C66" s="18">
        <f t="shared" si="6"/>
        <v>576027.16</v>
      </c>
      <c r="D66" s="18"/>
      <c r="E66" s="18">
        <v>576027.16</v>
      </c>
      <c r="F66" s="18"/>
      <c r="G66" s="18"/>
      <c r="H66" s="18"/>
      <c r="I66" s="18"/>
      <c r="J66" s="18"/>
      <c r="K66" s="18"/>
      <c r="L66" s="10"/>
      <c r="M66" s="18"/>
      <c r="N66" s="10"/>
      <c r="O66" s="18"/>
      <c r="P66" s="18"/>
      <c r="Q66" s="18"/>
      <c r="R66" s="18"/>
      <c r="S66" s="18"/>
    </row>
    <row r="67" spans="1:19" x14ac:dyDescent="0.25">
      <c r="A67" s="9" t="s">
        <v>134</v>
      </c>
      <c r="B67" s="17" t="s">
        <v>135</v>
      </c>
      <c r="C67" s="18">
        <f t="shared" si="6"/>
        <v>82242.86</v>
      </c>
      <c r="D67" s="18"/>
      <c r="E67" s="18">
        <v>82242.86</v>
      </c>
      <c r="F67" s="18"/>
      <c r="G67" s="18"/>
      <c r="H67" s="18"/>
      <c r="I67" s="18"/>
      <c r="J67" s="18"/>
      <c r="K67" s="18"/>
      <c r="L67" s="10"/>
      <c r="M67" s="18"/>
      <c r="N67" s="10"/>
      <c r="O67" s="18"/>
      <c r="P67" s="18"/>
      <c r="Q67" s="18"/>
      <c r="R67" s="18"/>
      <c r="S67" s="18"/>
    </row>
    <row r="68" spans="1:19" x14ac:dyDescent="0.25">
      <c r="A68" s="9" t="s">
        <v>136</v>
      </c>
      <c r="B68" s="17" t="s">
        <v>137</v>
      </c>
      <c r="C68" s="18">
        <f t="shared" si="6"/>
        <v>620132.06000000006</v>
      </c>
      <c r="D68" s="18"/>
      <c r="E68" s="18">
        <v>620132.06000000006</v>
      </c>
      <c r="F68" s="18"/>
      <c r="G68" s="18"/>
      <c r="H68" s="18"/>
      <c r="I68" s="18"/>
      <c r="J68" s="18"/>
      <c r="K68" s="18"/>
      <c r="L68" s="10"/>
      <c r="M68" s="18"/>
      <c r="N68" s="10"/>
      <c r="O68" s="18"/>
      <c r="P68" s="18"/>
      <c r="Q68" s="18"/>
      <c r="R68" s="18"/>
      <c r="S68" s="18"/>
    </row>
    <row r="69" spans="1:19" x14ac:dyDescent="0.25">
      <c r="A69" s="9" t="s">
        <v>138</v>
      </c>
      <c r="B69" s="17" t="s">
        <v>139</v>
      </c>
      <c r="C69" s="18">
        <f t="shared" si="6"/>
        <v>147826.56</v>
      </c>
      <c r="D69" s="18"/>
      <c r="E69" s="18">
        <v>147826.56</v>
      </c>
      <c r="F69" s="18"/>
      <c r="G69" s="18"/>
      <c r="H69" s="18"/>
      <c r="I69" s="18"/>
      <c r="J69" s="18"/>
      <c r="K69" s="18"/>
      <c r="L69" s="10"/>
      <c r="M69" s="18"/>
      <c r="N69" s="10"/>
      <c r="O69" s="18"/>
      <c r="P69" s="18"/>
      <c r="Q69" s="18"/>
      <c r="R69" s="18"/>
      <c r="S69" s="18"/>
    </row>
    <row r="70" spans="1:19" x14ac:dyDescent="0.25">
      <c r="A70" s="9" t="s">
        <v>140</v>
      </c>
      <c r="B70" s="17" t="s">
        <v>141</v>
      </c>
      <c r="C70" s="18">
        <f t="shared" si="6"/>
        <v>396314.07</v>
      </c>
      <c r="D70" s="18"/>
      <c r="E70" s="18">
        <v>396314.07</v>
      </c>
      <c r="F70" s="18"/>
      <c r="G70" s="18"/>
      <c r="H70" s="18"/>
      <c r="I70" s="18"/>
      <c r="J70" s="18"/>
      <c r="K70" s="18"/>
      <c r="L70" s="10"/>
      <c r="M70" s="18"/>
      <c r="N70" s="10"/>
      <c r="O70" s="18"/>
      <c r="P70" s="18"/>
      <c r="Q70" s="18"/>
      <c r="R70" s="18"/>
      <c r="S70" s="18"/>
    </row>
    <row r="71" spans="1:19" x14ac:dyDescent="0.25">
      <c r="A71" s="9" t="s">
        <v>142</v>
      </c>
      <c r="B71" s="17" t="s">
        <v>143</v>
      </c>
      <c r="C71" s="18">
        <f t="shared" si="6"/>
        <v>121010.91</v>
      </c>
      <c r="D71" s="18"/>
      <c r="E71" s="18">
        <v>121010.91</v>
      </c>
      <c r="F71" s="18"/>
      <c r="G71" s="18"/>
      <c r="H71" s="18"/>
      <c r="I71" s="18"/>
      <c r="J71" s="18"/>
      <c r="K71" s="18"/>
      <c r="L71" s="10"/>
      <c r="M71" s="18"/>
      <c r="N71" s="10"/>
      <c r="O71" s="18"/>
      <c r="P71" s="18"/>
      <c r="Q71" s="18"/>
      <c r="R71" s="18"/>
      <c r="S71" s="18"/>
    </row>
    <row r="72" spans="1:19" x14ac:dyDescent="0.25">
      <c r="A72" s="9" t="s">
        <v>144</v>
      </c>
      <c r="B72" s="17" t="s">
        <v>145</v>
      </c>
      <c r="C72" s="18">
        <f t="shared" si="6"/>
        <v>396621.61</v>
      </c>
      <c r="D72" s="18"/>
      <c r="E72" s="18">
        <v>396621.61</v>
      </c>
      <c r="F72" s="18"/>
      <c r="G72" s="18"/>
      <c r="H72" s="18"/>
      <c r="I72" s="18"/>
      <c r="J72" s="18"/>
      <c r="K72" s="18"/>
      <c r="L72" s="10"/>
      <c r="M72" s="18"/>
      <c r="N72" s="10"/>
      <c r="O72" s="18"/>
      <c r="P72" s="18"/>
      <c r="Q72" s="18"/>
      <c r="R72" s="18"/>
      <c r="S72" s="18"/>
    </row>
    <row r="73" spans="1:19" x14ac:dyDescent="0.25">
      <c r="A73" s="9" t="s">
        <v>146</v>
      </c>
      <c r="B73" s="17" t="s">
        <v>147</v>
      </c>
      <c r="C73" s="18">
        <f t="shared" si="6"/>
        <v>397058.38</v>
      </c>
      <c r="D73" s="18"/>
      <c r="E73" s="18">
        <v>397058.38</v>
      </c>
      <c r="F73" s="18"/>
      <c r="G73" s="18"/>
      <c r="H73" s="18"/>
      <c r="I73" s="18"/>
      <c r="J73" s="18"/>
      <c r="K73" s="18"/>
      <c r="L73" s="10"/>
      <c r="M73" s="18"/>
      <c r="N73" s="10"/>
      <c r="O73" s="18"/>
      <c r="P73" s="18"/>
      <c r="Q73" s="18"/>
      <c r="R73" s="18"/>
      <c r="S73" s="18"/>
    </row>
    <row r="74" spans="1:19" x14ac:dyDescent="0.25">
      <c r="A74" s="9" t="s">
        <v>148</v>
      </c>
      <c r="B74" s="17" t="s">
        <v>149</v>
      </c>
      <c r="C74" s="18">
        <f t="shared" si="6"/>
        <v>189770.73</v>
      </c>
      <c r="D74" s="18"/>
      <c r="E74" s="18">
        <v>189770.73</v>
      </c>
      <c r="F74" s="18"/>
      <c r="G74" s="18"/>
      <c r="H74" s="18"/>
      <c r="I74" s="18"/>
      <c r="J74" s="18"/>
      <c r="K74" s="18"/>
      <c r="L74" s="10"/>
      <c r="M74" s="18"/>
      <c r="N74" s="10"/>
      <c r="O74" s="18"/>
      <c r="P74" s="18"/>
      <c r="Q74" s="18"/>
      <c r="R74" s="18"/>
      <c r="S74" s="18"/>
    </row>
    <row r="75" spans="1:19" x14ac:dyDescent="0.25">
      <c r="A75" s="9" t="s">
        <v>150</v>
      </c>
      <c r="B75" s="17" t="s">
        <v>151</v>
      </c>
      <c r="C75" s="18">
        <f t="shared" si="6"/>
        <v>166387.98000000001</v>
      </c>
      <c r="D75" s="18"/>
      <c r="E75" s="18">
        <v>166387.98000000001</v>
      </c>
      <c r="F75" s="18"/>
      <c r="G75" s="18"/>
      <c r="H75" s="18"/>
      <c r="I75" s="18"/>
      <c r="J75" s="18"/>
      <c r="K75" s="18"/>
      <c r="L75" s="10"/>
      <c r="M75" s="18"/>
      <c r="N75" s="10"/>
      <c r="O75" s="18"/>
      <c r="P75" s="18"/>
      <c r="Q75" s="18"/>
      <c r="R75" s="18"/>
      <c r="S75" s="18"/>
    </row>
    <row r="76" spans="1:19" x14ac:dyDescent="0.25">
      <c r="A76" s="9" t="s">
        <v>152</v>
      </c>
      <c r="B76" s="17" t="s">
        <v>153</v>
      </c>
      <c r="C76" s="18">
        <f t="shared" si="6"/>
        <v>256772.26</v>
      </c>
      <c r="D76" s="18"/>
      <c r="E76" s="18">
        <v>256772.26</v>
      </c>
      <c r="F76" s="18"/>
      <c r="G76" s="18"/>
      <c r="H76" s="18"/>
      <c r="I76" s="18"/>
      <c r="J76" s="18"/>
      <c r="K76" s="18"/>
      <c r="L76" s="10"/>
      <c r="M76" s="18"/>
      <c r="N76" s="10"/>
      <c r="O76" s="18"/>
      <c r="P76" s="18"/>
      <c r="Q76" s="18"/>
      <c r="R76" s="18"/>
      <c r="S76" s="18"/>
    </row>
    <row r="77" spans="1:19" x14ac:dyDescent="0.25">
      <c r="A77" s="9" t="s">
        <v>154</v>
      </c>
      <c r="B77" s="17" t="s">
        <v>155</v>
      </c>
      <c r="C77" s="18">
        <f t="shared" si="6"/>
        <v>340222.8</v>
      </c>
      <c r="D77" s="18"/>
      <c r="E77" s="18">
        <v>340222.8</v>
      </c>
      <c r="F77" s="18"/>
      <c r="G77" s="18"/>
      <c r="H77" s="18"/>
      <c r="I77" s="18"/>
      <c r="J77" s="18"/>
      <c r="K77" s="18"/>
      <c r="L77" s="10"/>
      <c r="M77" s="18"/>
      <c r="N77" s="10"/>
      <c r="O77" s="18"/>
      <c r="P77" s="18"/>
      <c r="Q77" s="18"/>
      <c r="R77" s="18"/>
      <c r="S77" s="18"/>
    </row>
    <row r="78" spans="1:19" x14ac:dyDescent="0.25">
      <c r="A78" s="9" t="s">
        <v>156</v>
      </c>
      <c r="B78" s="17" t="s">
        <v>157</v>
      </c>
      <c r="C78" s="18">
        <f t="shared" si="6"/>
        <v>3638292.39</v>
      </c>
      <c r="D78" s="18">
        <v>18200.439999999999</v>
      </c>
      <c r="E78" s="18">
        <v>410138.14</v>
      </c>
      <c r="F78" s="18"/>
      <c r="G78" s="18"/>
      <c r="H78" s="18">
        <v>2356689.7400000002</v>
      </c>
      <c r="I78" s="18">
        <v>853264.07</v>
      </c>
      <c r="J78" s="18"/>
      <c r="K78" s="18"/>
      <c r="L78" s="10"/>
      <c r="M78" s="18"/>
      <c r="N78" s="10"/>
      <c r="O78" s="18"/>
      <c r="P78" s="18"/>
      <c r="Q78" s="18"/>
      <c r="R78" s="18"/>
      <c r="S78" s="18"/>
    </row>
    <row r="79" spans="1:19" x14ac:dyDescent="0.25">
      <c r="A79" s="9" t="s">
        <v>158</v>
      </c>
      <c r="B79" s="17" t="s">
        <v>159</v>
      </c>
      <c r="C79" s="18">
        <f t="shared" si="6"/>
        <v>64448.05</v>
      </c>
      <c r="D79" s="18"/>
      <c r="E79" s="18">
        <v>64448.05</v>
      </c>
      <c r="F79" s="18"/>
      <c r="G79" s="18"/>
      <c r="H79" s="18"/>
      <c r="I79" s="18"/>
      <c r="J79" s="18"/>
      <c r="K79" s="18"/>
      <c r="L79" s="10"/>
      <c r="M79" s="18"/>
      <c r="N79" s="10"/>
      <c r="O79" s="18"/>
      <c r="P79" s="18"/>
      <c r="Q79" s="18"/>
      <c r="R79" s="18"/>
      <c r="S79" s="18"/>
    </row>
    <row r="80" spans="1:19" x14ac:dyDescent="0.25">
      <c r="A80" s="9" t="s">
        <v>160</v>
      </c>
      <c r="B80" s="17" t="s">
        <v>161</v>
      </c>
      <c r="C80" s="18">
        <f t="shared" si="6"/>
        <v>3592097.61</v>
      </c>
      <c r="D80" s="18">
        <v>17942.27</v>
      </c>
      <c r="E80" s="18">
        <v>409733.71</v>
      </c>
      <c r="F80" s="18"/>
      <c r="G80" s="18"/>
      <c r="H80" s="18">
        <v>2350335.41</v>
      </c>
      <c r="I80" s="18">
        <v>814086.22</v>
      </c>
      <c r="J80" s="18"/>
      <c r="K80" s="18"/>
      <c r="L80" s="10"/>
      <c r="M80" s="18"/>
      <c r="N80" s="10"/>
      <c r="O80" s="18"/>
      <c r="P80" s="18"/>
      <c r="Q80" s="18"/>
      <c r="R80" s="18"/>
      <c r="S80" s="18"/>
    </row>
    <row r="81" spans="1:19" x14ac:dyDescent="0.25">
      <c r="A81" s="9" t="s">
        <v>162</v>
      </c>
      <c r="B81" s="17" t="s">
        <v>163</v>
      </c>
      <c r="C81" s="18">
        <f t="shared" si="6"/>
        <v>120350.3</v>
      </c>
      <c r="D81" s="18"/>
      <c r="E81" s="18">
        <v>120350.3</v>
      </c>
      <c r="F81" s="18"/>
      <c r="G81" s="18"/>
      <c r="H81" s="18"/>
      <c r="I81" s="18"/>
      <c r="J81" s="18"/>
      <c r="K81" s="18"/>
      <c r="L81" s="10"/>
      <c r="M81" s="18"/>
      <c r="N81" s="10"/>
      <c r="O81" s="18"/>
      <c r="P81" s="18"/>
      <c r="Q81" s="18"/>
      <c r="R81" s="18"/>
      <c r="S81" s="18"/>
    </row>
    <row r="82" spans="1:19" x14ac:dyDescent="0.25">
      <c r="A82" s="9" t="s">
        <v>164</v>
      </c>
      <c r="B82" s="17" t="s">
        <v>165</v>
      </c>
      <c r="C82" s="18">
        <f t="shared" si="6"/>
        <v>81473.77</v>
      </c>
      <c r="D82" s="18"/>
      <c r="E82" s="18">
        <v>81473.77</v>
      </c>
      <c r="F82" s="18"/>
      <c r="G82" s="18"/>
      <c r="H82" s="18"/>
      <c r="I82" s="18"/>
      <c r="J82" s="18"/>
      <c r="K82" s="18"/>
      <c r="L82" s="10"/>
      <c r="M82" s="18"/>
      <c r="N82" s="10"/>
      <c r="O82" s="18"/>
      <c r="P82" s="18"/>
      <c r="Q82" s="18"/>
      <c r="R82" s="18"/>
      <c r="S82" s="18"/>
    </row>
    <row r="83" spans="1:19" ht="15" customHeight="1" x14ac:dyDescent="0.25">
      <c r="A83" s="17"/>
      <c r="B83" s="17" t="s">
        <v>166</v>
      </c>
      <c r="C83" s="18">
        <f>ROUND(D83+E83+F83+G83+H83+I83+J83+K83+M83+O83+P83+Q83+R83+S83,2)</f>
        <v>33650497.479999997</v>
      </c>
      <c r="D83" s="18">
        <f t="shared" ref="D83:S83" si="7">SUM(D33:D82)</f>
        <v>278345.49</v>
      </c>
      <c r="E83" s="18">
        <f t="shared" si="7"/>
        <v>13548346.910000006</v>
      </c>
      <c r="F83" s="18">
        <f t="shared" si="7"/>
        <v>2168607.2599999998</v>
      </c>
      <c r="G83" s="18">
        <f t="shared" si="7"/>
        <v>0</v>
      </c>
      <c r="H83" s="18">
        <f t="shared" si="7"/>
        <v>4707025.1500000004</v>
      </c>
      <c r="I83" s="18">
        <f t="shared" si="7"/>
        <v>1667350.29</v>
      </c>
      <c r="J83" s="18">
        <f t="shared" si="7"/>
        <v>0</v>
      </c>
      <c r="K83" s="18">
        <f t="shared" si="7"/>
        <v>0</v>
      </c>
      <c r="L83" s="10">
        <f t="shared" si="7"/>
        <v>4</v>
      </c>
      <c r="M83" s="18">
        <f t="shared" si="7"/>
        <v>11280822.380000001</v>
      </c>
      <c r="N83" s="18" t="s">
        <v>42</v>
      </c>
      <c r="O83" s="18">
        <f t="shared" si="7"/>
        <v>0</v>
      </c>
      <c r="P83" s="18">
        <f t="shared" si="7"/>
        <v>0</v>
      </c>
      <c r="Q83" s="18">
        <f t="shared" si="7"/>
        <v>0</v>
      </c>
      <c r="R83" s="18">
        <f t="shared" si="7"/>
        <v>0</v>
      </c>
      <c r="S83" s="18">
        <f t="shared" si="7"/>
        <v>0</v>
      </c>
    </row>
    <row r="84" spans="1:19" ht="15" customHeight="1" x14ac:dyDescent="0.25">
      <c r="A84" s="12"/>
      <c r="B84" s="12" t="s">
        <v>167</v>
      </c>
      <c r="C84" s="19"/>
      <c r="D84" s="13"/>
      <c r="E84" s="13"/>
      <c r="F84" s="13"/>
      <c r="G84" s="13"/>
      <c r="H84" s="13"/>
      <c r="I84" s="13"/>
      <c r="J84" s="13"/>
      <c r="K84" s="13"/>
      <c r="L84" s="14"/>
      <c r="M84" s="13"/>
      <c r="N84" s="14"/>
      <c r="O84" s="13"/>
      <c r="P84" s="13"/>
      <c r="Q84" s="13"/>
      <c r="R84" s="13"/>
      <c r="S84" s="13"/>
    </row>
    <row r="85" spans="1:19" x14ac:dyDescent="0.25">
      <c r="A85" s="9" t="s">
        <v>168</v>
      </c>
      <c r="B85" s="17" t="s">
        <v>169</v>
      </c>
      <c r="C85" s="18">
        <f t="shared" ref="C85:C98" si="8">ROUNDUP(SUM(D85+E85+F85+G85+H85+I85+J85+K85+M85+O85+P85+Q85+R85+S85),2)</f>
        <v>127503.58</v>
      </c>
      <c r="D85" s="18"/>
      <c r="E85" s="18">
        <v>127503.58</v>
      </c>
      <c r="F85" s="18"/>
      <c r="G85" s="18"/>
      <c r="H85" s="18"/>
      <c r="I85" s="18"/>
      <c r="J85" s="18"/>
      <c r="K85" s="18"/>
      <c r="L85" s="10"/>
      <c r="M85" s="18"/>
      <c r="N85" s="10"/>
      <c r="O85" s="18"/>
      <c r="P85" s="18"/>
      <c r="Q85" s="18"/>
      <c r="R85" s="18"/>
      <c r="S85" s="18"/>
    </row>
    <row r="86" spans="1:19" x14ac:dyDescent="0.25">
      <c r="A86" s="9" t="s">
        <v>170</v>
      </c>
      <c r="B86" s="17" t="s">
        <v>171</v>
      </c>
      <c r="C86" s="18">
        <f t="shared" si="8"/>
        <v>124932.52</v>
      </c>
      <c r="D86" s="18"/>
      <c r="E86" s="18">
        <v>124932.52</v>
      </c>
      <c r="F86" s="18"/>
      <c r="G86" s="18"/>
      <c r="H86" s="18"/>
      <c r="I86" s="18"/>
      <c r="J86" s="18"/>
      <c r="K86" s="18"/>
      <c r="L86" s="10"/>
      <c r="M86" s="18"/>
      <c r="N86" s="10"/>
      <c r="O86" s="18"/>
      <c r="P86" s="18"/>
      <c r="Q86" s="18"/>
      <c r="R86" s="18"/>
      <c r="S86" s="18"/>
    </row>
    <row r="87" spans="1:19" x14ac:dyDescent="0.25">
      <c r="A87" s="9" t="s">
        <v>172</v>
      </c>
      <c r="B87" s="17" t="s">
        <v>173</v>
      </c>
      <c r="C87" s="18">
        <f t="shared" si="8"/>
        <v>56638.94</v>
      </c>
      <c r="D87" s="18"/>
      <c r="E87" s="18">
        <v>56638.94</v>
      </c>
      <c r="F87" s="18"/>
      <c r="G87" s="18"/>
      <c r="H87" s="18"/>
      <c r="I87" s="18"/>
      <c r="J87" s="18"/>
      <c r="K87" s="18"/>
      <c r="L87" s="10"/>
      <c r="M87" s="18"/>
      <c r="N87" s="10"/>
      <c r="O87" s="18"/>
      <c r="P87" s="18"/>
      <c r="Q87" s="18"/>
      <c r="R87" s="18"/>
      <c r="S87" s="18"/>
    </row>
    <row r="88" spans="1:19" x14ac:dyDescent="0.25">
      <c r="A88" s="9" t="s">
        <v>174</v>
      </c>
      <c r="B88" s="17" t="s">
        <v>175</v>
      </c>
      <c r="C88" s="18">
        <f t="shared" si="8"/>
        <v>156028.43</v>
      </c>
      <c r="D88" s="18"/>
      <c r="E88" s="18">
        <v>156028.43</v>
      </c>
      <c r="F88" s="18"/>
      <c r="G88" s="18"/>
      <c r="H88" s="18"/>
      <c r="I88" s="18"/>
      <c r="J88" s="18"/>
      <c r="K88" s="18"/>
      <c r="L88" s="10"/>
      <c r="M88" s="18"/>
      <c r="N88" s="10"/>
      <c r="O88" s="18"/>
      <c r="P88" s="18"/>
      <c r="Q88" s="18"/>
      <c r="R88" s="18"/>
      <c r="S88" s="18"/>
    </row>
    <row r="89" spans="1:19" x14ac:dyDescent="0.25">
      <c r="A89" s="9" t="s">
        <v>176</v>
      </c>
      <c r="B89" s="17" t="s">
        <v>177</v>
      </c>
      <c r="C89" s="18">
        <f t="shared" si="8"/>
        <v>119053.73</v>
      </c>
      <c r="D89" s="18"/>
      <c r="E89" s="18">
        <v>119053.73</v>
      </c>
      <c r="F89" s="18"/>
      <c r="G89" s="18"/>
      <c r="H89" s="18"/>
      <c r="I89" s="18"/>
      <c r="J89" s="18"/>
      <c r="K89" s="18"/>
      <c r="L89" s="10"/>
      <c r="M89" s="18"/>
      <c r="N89" s="10"/>
      <c r="O89" s="18"/>
      <c r="P89" s="18"/>
      <c r="Q89" s="18"/>
      <c r="R89" s="18"/>
      <c r="S89" s="18"/>
    </row>
    <row r="90" spans="1:19" x14ac:dyDescent="0.25">
      <c r="A90" s="9" t="s">
        <v>178</v>
      </c>
      <c r="B90" s="17" t="s">
        <v>179</v>
      </c>
      <c r="C90" s="18">
        <f t="shared" si="8"/>
        <v>134600</v>
      </c>
      <c r="D90" s="18"/>
      <c r="E90" s="18">
        <v>134600</v>
      </c>
      <c r="F90" s="18"/>
      <c r="G90" s="18"/>
      <c r="H90" s="18"/>
      <c r="I90" s="18"/>
      <c r="J90" s="18"/>
      <c r="K90" s="18"/>
      <c r="L90" s="10"/>
      <c r="M90" s="18"/>
      <c r="N90" s="10"/>
      <c r="O90" s="18"/>
      <c r="P90" s="18"/>
      <c r="Q90" s="18"/>
      <c r="R90" s="18"/>
      <c r="S90" s="18"/>
    </row>
    <row r="91" spans="1:19" x14ac:dyDescent="0.25">
      <c r="A91" s="9" t="s">
        <v>180</v>
      </c>
      <c r="B91" s="17" t="s">
        <v>181</v>
      </c>
      <c r="C91" s="18">
        <f t="shared" si="8"/>
        <v>135347.39000000001</v>
      </c>
      <c r="D91" s="18"/>
      <c r="E91" s="18">
        <v>135347.39000000001</v>
      </c>
      <c r="F91" s="18"/>
      <c r="G91" s="18"/>
      <c r="H91" s="18"/>
      <c r="I91" s="18"/>
      <c r="J91" s="18"/>
      <c r="K91" s="18"/>
      <c r="L91" s="10"/>
      <c r="M91" s="18"/>
      <c r="N91" s="10"/>
      <c r="O91" s="18"/>
      <c r="P91" s="18"/>
      <c r="Q91" s="18"/>
      <c r="R91" s="18"/>
      <c r="S91" s="18"/>
    </row>
    <row r="92" spans="1:19" x14ac:dyDescent="0.25">
      <c r="A92" s="9" t="s">
        <v>182</v>
      </c>
      <c r="B92" s="17" t="s">
        <v>183</v>
      </c>
      <c r="C92" s="18">
        <f t="shared" si="8"/>
        <v>97357.45</v>
      </c>
      <c r="D92" s="18"/>
      <c r="E92" s="18">
        <v>97357.45</v>
      </c>
      <c r="F92" s="18"/>
      <c r="G92" s="18"/>
      <c r="H92" s="18"/>
      <c r="I92" s="18"/>
      <c r="J92" s="18"/>
      <c r="K92" s="18"/>
      <c r="L92" s="10"/>
      <c r="M92" s="18"/>
      <c r="N92" s="10"/>
      <c r="O92" s="18"/>
      <c r="P92" s="18"/>
      <c r="Q92" s="18"/>
      <c r="R92" s="18"/>
      <c r="S92" s="18"/>
    </row>
    <row r="93" spans="1:19" x14ac:dyDescent="0.25">
      <c r="A93" s="9" t="s">
        <v>184</v>
      </c>
      <c r="B93" s="17" t="s">
        <v>185</v>
      </c>
      <c r="C93" s="18">
        <f t="shared" si="8"/>
        <v>99007.14</v>
      </c>
      <c r="D93" s="18"/>
      <c r="E93" s="18">
        <v>99007.14</v>
      </c>
      <c r="F93" s="18"/>
      <c r="G93" s="18"/>
      <c r="H93" s="18"/>
      <c r="I93" s="18"/>
      <c r="J93" s="18"/>
      <c r="K93" s="18"/>
      <c r="L93" s="10"/>
      <c r="M93" s="18"/>
      <c r="N93" s="10"/>
      <c r="O93" s="18"/>
      <c r="P93" s="18"/>
      <c r="Q93" s="18"/>
      <c r="R93" s="18"/>
      <c r="S93" s="18"/>
    </row>
    <row r="94" spans="1:19" x14ac:dyDescent="0.25">
      <c r="A94" s="9" t="s">
        <v>186</v>
      </c>
      <c r="B94" s="17" t="s">
        <v>187</v>
      </c>
      <c r="C94" s="18">
        <f t="shared" si="8"/>
        <v>45658.27</v>
      </c>
      <c r="D94" s="18"/>
      <c r="E94" s="18">
        <v>45658.27</v>
      </c>
      <c r="F94" s="18"/>
      <c r="G94" s="18"/>
      <c r="H94" s="18"/>
      <c r="I94" s="18"/>
      <c r="J94" s="18"/>
      <c r="K94" s="18"/>
      <c r="L94" s="10"/>
      <c r="M94" s="18"/>
      <c r="N94" s="10"/>
      <c r="O94" s="18"/>
      <c r="P94" s="18"/>
      <c r="Q94" s="18"/>
      <c r="R94" s="18"/>
      <c r="S94" s="18"/>
    </row>
    <row r="95" spans="1:19" x14ac:dyDescent="0.25">
      <c r="A95" s="9" t="s">
        <v>188</v>
      </c>
      <c r="B95" s="17" t="s">
        <v>189</v>
      </c>
      <c r="C95" s="18">
        <f t="shared" si="8"/>
        <v>45868.1</v>
      </c>
      <c r="D95" s="18"/>
      <c r="E95" s="18">
        <v>45868.1</v>
      </c>
      <c r="F95" s="18"/>
      <c r="G95" s="18"/>
      <c r="H95" s="18"/>
      <c r="I95" s="18"/>
      <c r="J95" s="18"/>
      <c r="K95" s="18"/>
      <c r="L95" s="10"/>
      <c r="M95" s="18"/>
      <c r="N95" s="10"/>
      <c r="O95" s="18"/>
      <c r="P95" s="18"/>
      <c r="Q95" s="18"/>
      <c r="R95" s="18"/>
      <c r="S95" s="18"/>
    </row>
    <row r="96" spans="1:19" x14ac:dyDescent="0.25">
      <c r="A96" s="9" t="s">
        <v>190</v>
      </c>
      <c r="B96" s="17" t="s">
        <v>191</v>
      </c>
      <c r="C96" s="18">
        <f t="shared" si="8"/>
        <v>185078.58</v>
      </c>
      <c r="D96" s="18"/>
      <c r="E96" s="18">
        <v>185078.58</v>
      </c>
      <c r="F96" s="18"/>
      <c r="G96" s="18"/>
      <c r="H96" s="18"/>
      <c r="I96" s="18"/>
      <c r="J96" s="18"/>
      <c r="K96" s="18"/>
      <c r="L96" s="10"/>
      <c r="M96" s="18"/>
      <c r="N96" s="10"/>
      <c r="O96" s="18"/>
      <c r="P96" s="18"/>
      <c r="Q96" s="18"/>
      <c r="R96" s="18"/>
      <c r="S96" s="18"/>
    </row>
    <row r="97" spans="1:19" x14ac:dyDescent="0.25">
      <c r="A97" s="9" t="s">
        <v>192</v>
      </c>
      <c r="B97" s="17" t="s">
        <v>193</v>
      </c>
      <c r="C97" s="18">
        <f t="shared" si="8"/>
        <v>102450.41</v>
      </c>
      <c r="D97" s="18"/>
      <c r="E97" s="18">
        <v>102450.41</v>
      </c>
      <c r="F97" s="18"/>
      <c r="G97" s="18"/>
      <c r="H97" s="18"/>
      <c r="I97" s="18"/>
      <c r="J97" s="18"/>
      <c r="K97" s="18"/>
      <c r="L97" s="10"/>
      <c r="M97" s="18"/>
      <c r="N97" s="10"/>
      <c r="O97" s="18"/>
      <c r="P97" s="18"/>
      <c r="Q97" s="18"/>
      <c r="R97" s="18"/>
      <c r="S97" s="18"/>
    </row>
    <row r="98" spans="1:19" x14ac:dyDescent="0.25">
      <c r="A98" s="9" t="s">
        <v>194</v>
      </c>
      <c r="B98" s="17" t="s">
        <v>195</v>
      </c>
      <c r="C98" s="18">
        <f t="shared" si="8"/>
        <v>174822</v>
      </c>
      <c r="D98" s="18"/>
      <c r="E98" s="18">
        <v>174822</v>
      </c>
      <c r="F98" s="18"/>
      <c r="G98" s="18"/>
      <c r="H98" s="18"/>
      <c r="I98" s="18"/>
      <c r="J98" s="18"/>
      <c r="K98" s="18"/>
      <c r="L98" s="10"/>
      <c r="M98" s="18"/>
      <c r="N98" s="10"/>
      <c r="O98" s="18"/>
      <c r="P98" s="18"/>
      <c r="Q98" s="18"/>
      <c r="R98" s="18"/>
      <c r="S98" s="18"/>
    </row>
    <row r="99" spans="1:19" ht="15" customHeight="1" x14ac:dyDescent="0.25">
      <c r="A99" s="17"/>
      <c r="B99" s="17" t="s">
        <v>196</v>
      </c>
      <c r="C99" s="18">
        <f>ROUND(D99+E99+F99+G99+H99+I99+J99+K99+M99+O99+P99+Q99+R99+S99,2)</f>
        <v>1604346.54</v>
      </c>
      <c r="D99" s="18">
        <f t="shared" ref="D99:S99" si="9">SUM(D85:D98)</f>
        <v>0</v>
      </c>
      <c r="E99" s="18">
        <f t="shared" si="9"/>
        <v>1604346.54</v>
      </c>
      <c r="F99" s="18">
        <f t="shared" si="9"/>
        <v>0</v>
      </c>
      <c r="G99" s="18">
        <f t="shared" si="9"/>
        <v>0</v>
      </c>
      <c r="H99" s="18">
        <f t="shared" si="9"/>
        <v>0</v>
      </c>
      <c r="I99" s="18">
        <f t="shared" si="9"/>
        <v>0</v>
      </c>
      <c r="J99" s="18">
        <f t="shared" si="9"/>
        <v>0</v>
      </c>
      <c r="K99" s="18">
        <f t="shared" si="9"/>
        <v>0</v>
      </c>
      <c r="L99" s="10">
        <f t="shared" si="9"/>
        <v>0</v>
      </c>
      <c r="M99" s="18">
        <f t="shared" si="9"/>
        <v>0</v>
      </c>
      <c r="N99" s="18" t="s">
        <v>42</v>
      </c>
      <c r="O99" s="18">
        <f t="shared" si="9"/>
        <v>0</v>
      </c>
      <c r="P99" s="18">
        <f t="shared" si="9"/>
        <v>0</v>
      </c>
      <c r="Q99" s="18">
        <f t="shared" si="9"/>
        <v>0</v>
      </c>
      <c r="R99" s="18">
        <f t="shared" si="9"/>
        <v>0</v>
      </c>
      <c r="S99" s="18">
        <f t="shared" si="9"/>
        <v>0</v>
      </c>
    </row>
    <row r="100" spans="1:19" ht="15" customHeight="1" x14ac:dyDescent="0.25">
      <c r="A100" s="12"/>
      <c r="B100" s="12" t="s">
        <v>197</v>
      </c>
      <c r="C100" s="19"/>
      <c r="D100" s="13"/>
      <c r="E100" s="13"/>
      <c r="F100" s="13"/>
      <c r="G100" s="13"/>
      <c r="H100" s="13"/>
      <c r="I100" s="13"/>
      <c r="J100" s="13"/>
      <c r="K100" s="13"/>
      <c r="L100" s="14"/>
      <c r="M100" s="13"/>
      <c r="N100" s="14"/>
      <c r="O100" s="13"/>
      <c r="P100" s="13"/>
      <c r="Q100" s="13"/>
      <c r="R100" s="13"/>
      <c r="S100" s="13"/>
    </row>
    <row r="101" spans="1:19" x14ac:dyDescent="0.25">
      <c r="A101" s="9" t="s">
        <v>198</v>
      </c>
      <c r="B101" s="17" t="s">
        <v>199</v>
      </c>
      <c r="C101" s="18">
        <f t="shared" ref="C101:C130" si="10">ROUNDUP(SUM(D101+E101+F101+G101+H101+I101+J101+K101+M101+O101+P101+Q101+R101+S101),2)</f>
        <v>154638.53</v>
      </c>
      <c r="D101" s="18"/>
      <c r="E101" s="18">
        <v>154638.53</v>
      </c>
      <c r="F101" s="18"/>
      <c r="G101" s="18"/>
      <c r="H101" s="18"/>
      <c r="I101" s="18"/>
      <c r="J101" s="18"/>
      <c r="K101" s="18"/>
      <c r="L101" s="10"/>
      <c r="M101" s="18"/>
      <c r="N101" s="10"/>
      <c r="O101" s="18"/>
      <c r="P101" s="18"/>
      <c r="Q101" s="18"/>
      <c r="R101" s="18"/>
      <c r="S101" s="18"/>
    </row>
    <row r="102" spans="1:19" x14ac:dyDescent="0.25">
      <c r="A102" s="9" t="s">
        <v>200</v>
      </c>
      <c r="B102" s="17" t="s">
        <v>201</v>
      </c>
      <c r="C102" s="18">
        <f t="shared" si="10"/>
        <v>161170.97</v>
      </c>
      <c r="D102" s="18"/>
      <c r="E102" s="18">
        <v>161170.97</v>
      </c>
      <c r="F102" s="18"/>
      <c r="G102" s="18"/>
      <c r="H102" s="18"/>
      <c r="I102" s="18"/>
      <c r="J102" s="18"/>
      <c r="K102" s="18"/>
      <c r="L102" s="10"/>
      <c r="M102" s="18"/>
      <c r="N102" s="10"/>
      <c r="O102" s="18"/>
      <c r="P102" s="18"/>
      <c r="Q102" s="18"/>
      <c r="R102" s="18"/>
      <c r="S102" s="18"/>
    </row>
    <row r="103" spans="1:19" x14ac:dyDescent="0.25">
      <c r="A103" s="9" t="s">
        <v>202</v>
      </c>
      <c r="B103" s="17" t="s">
        <v>203</v>
      </c>
      <c r="C103" s="18">
        <f t="shared" si="10"/>
        <v>172516.87</v>
      </c>
      <c r="D103" s="18"/>
      <c r="E103" s="18">
        <v>172516.87</v>
      </c>
      <c r="F103" s="18"/>
      <c r="G103" s="18"/>
      <c r="H103" s="18"/>
      <c r="I103" s="18"/>
      <c r="J103" s="18"/>
      <c r="K103" s="18"/>
      <c r="L103" s="10"/>
      <c r="M103" s="18"/>
      <c r="N103" s="10"/>
      <c r="O103" s="18"/>
      <c r="P103" s="18"/>
      <c r="Q103" s="18"/>
      <c r="R103" s="18"/>
      <c r="S103" s="18"/>
    </row>
    <row r="104" spans="1:19" x14ac:dyDescent="0.25">
      <c r="A104" s="9" t="s">
        <v>204</v>
      </c>
      <c r="B104" s="17" t="s">
        <v>205</v>
      </c>
      <c r="C104" s="18">
        <f t="shared" si="10"/>
        <v>615669.68000000005</v>
      </c>
      <c r="D104" s="18"/>
      <c r="E104" s="18">
        <v>615669.68000000005</v>
      </c>
      <c r="F104" s="18"/>
      <c r="G104" s="18"/>
      <c r="H104" s="18"/>
      <c r="I104" s="18"/>
      <c r="J104" s="18"/>
      <c r="K104" s="18"/>
      <c r="L104" s="10"/>
      <c r="M104" s="18"/>
      <c r="N104" s="10"/>
      <c r="O104" s="18"/>
      <c r="P104" s="18"/>
      <c r="Q104" s="18"/>
      <c r="R104" s="18"/>
      <c r="S104" s="18"/>
    </row>
    <row r="105" spans="1:19" x14ac:dyDescent="0.25">
      <c r="A105" s="9" t="s">
        <v>206</v>
      </c>
      <c r="B105" s="17" t="s">
        <v>207</v>
      </c>
      <c r="C105" s="18">
        <f t="shared" si="10"/>
        <v>508590.23</v>
      </c>
      <c r="D105" s="18"/>
      <c r="E105" s="18">
        <v>508590.23</v>
      </c>
      <c r="F105" s="18"/>
      <c r="G105" s="18"/>
      <c r="H105" s="18"/>
      <c r="I105" s="18"/>
      <c r="J105" s="18"/>
      <c r="K105" s="18"/>
      <c r="L105" s="10"/>
      <c r="M105" s="18"/>
      <c r="N105" s="10"/>
      <c r="O105" s="18"/>
      <c r="P105" s="18"/>
      <c r="Q105" s="18"/>
      <c r="R105" s="18"/>
      <c r="S105" s="18"/>
    </row>
    <row r="106" spans="1:19" x14ac:dyDescent="0.25">
      <c r="A106" s="9" t="s">
        <v>208</v>
      </c>
      <c r="B106" s="17" t="s">
        <v>209</v>
      </c>
      <c r="C106" s="18">
        <f t="shared" si="10"/>
        <v>209246.76</v>
      </c>
      <c r="D106" s="18"/>
      <c r="E106" s="18">
        <v>209246.76</v>
      </c>
      <c r="F106" s="18"/>
      <c r="G106" s="18"/>
      <c r="H106" s="18"/>
      <c r="I106" s="18"/>
      <c r="J106" s="18"/>
      <c r="K106" s="18"/>
      <c r="L106" s="10"/>
      <c r="M106" s="18"/>
      <c r="N106" s="10"/>
      <c r="O106" s="18"/>
      <c r="P106" s="18"/>
      <c r="Q106" s="18"/>
      <c r="R106" s="18"/>
      <c r="S106" s="18"/>
    </row>
    <row r="107" spans="1:19" x14ac:dyDescent="0.25">
      <c r="A107" s="9" t="s">
        <v>210</v>
      </c>
      <c r="B107" s="17" t="s">
        <v>211</v>
      </c>
      <c r="C107" s="18">
        <f t="shared" si="10"/>
        <v>158814.01999999999</v>
      </c>
      <c r="D107" s="18"/>
      <c r="E107" s="18">
        <v>158814.01999999999</v>
      </c>
      <c r="F107" s="18"/>
      <c r="G107" s="18"/>
      <c r="H107" s="18"/>
      <c r="I107" s="18"/>
      <c r="J107" s="18"/>
      <c r="K107" s="18"/>
      <c r="L107" s="10"/>
      <c r="M107" s="18"/>
      <c r="N107" s="10"/>
      <c r="O107" s="18"/>
      <c r="P107" s="18"/>
      <c r="Q107" s="18"/>
      <c r="R107" s="18"/>
      <c r="S107" s="18"/>
    </row>
    <row r="108" spans="1:19" x14ac:dyDescent="0.25">
      <c r="A108" s="9" t="s">
        <v>212</v>
      </c>
      <c r="B108" s="17" t="s">
        <v>213</v>
      </c>
      <c r="C108" s="18">
        <f t="shared" si="10"/>
        <v>131494.42000000001</v>
      </c>
      <c r="D108" s="18"/>
      <c r="E108" s="18">
        <v>131494.42000000001</v>
      </c>
      <c r="F108" s="18"/>
      <c r="G108" s="18"/>
      <c r="H108" s="18"/>
      <c r="I108" s="18"/>
      <c r="J108" s="18"/>
      <c r="K108" s="18"/>
      <c r="L108" s="10"/>
      <c r="M108" s="18"/>
      <c r="N108" s="10"/>
      <c r="O108" s="18"/>
      <c r="P108" s="18"/>
      <c r="Q108" s="18"/>
      <c r="R108" s="18"/>
      <c r="S108" s="18"/>
    </row>
    <row r="109" spans="1:19" x14ac:dyDescent="0.25">
      <c r="A109" s="9" t="s">
        <v>214</v>
      </c>
      <c r="B109" s="17" t="s">
        <v>215</v>
      </c>
      <c r="C109" s="18">
        <f t="shared" si="10"/>
        <v>454506.8</v>
      </c>
      <c r="D109" s="18"/>
      <c r="E109" s="18">
        <v>454506.8</v>
      </c>
      <c r="F109" s="18"/>
      <c r="G109" s="18"/>
      <c r="H109" s="18"/>
      <c r="I109" s="18"/>
      <c r="J109" s="18"/>
      <c r="K109" s="18"/>
      <c r="L109" s="10"/>
      <c r="M109" s="18"/>
      <c r="N109" s="10"/>
      <c r="O109" s="18"/>
      <c r="P109" s="18"/>
      <c r="Q109" s="18"/>
      <c r="R109" s="18"/>
      <c r="S109" s="18"/>
    </row>
    <row r="110" spans="1:19" x14ac:dyDescent="0.25">
      <c r="A110" s="9" t="s">
        <v>216</v>
      </c>
      <c r="B110" s="17" t="s">
        <v>217</v>
      </c>
      <c r="C110" s="18">
        <f t="shared" si="10"/>
        <v>559756.03</v>
      </c>
      <c r="D110" s="18"/>
      <c r="E110" s="18">
        <v>559756.03</v>
      </c>
      <c r="F110" s="18"/>
      <c r="G110" s="18"/>
      <c r="H110" s="18"/>
      <c r="I110" s="18"/>
      <c r="J110" s="18"/>
      <c r="K110" s="18"/>
      <c r="L110" s="10"/>
      <c r="M110" s="18"/>
      <c r="N110" s="10"/>
      <c r="O110" s="18"/>
      <c r="P110" s="18"/>
      <c r="Q110" s="18"/>
      <c r="R110" s="18"/>
      <c r="S110" s="18"/>
    </row>
    <row r="111" spans="1:19" x14ac:dyDescent="0.25">
      <c r="A111" s="9" t="s">
        <v>218</v>
      </c>
      <c r="B111" s="17" t="s">
        <v>219</v>
      </c>
      <c r="C111" s="18">
        <f t="shared" si="10"/>
        <v>152068.39000000001</v>
      </c>
      <c r="D111" s="18"/>
      <c r="E111" s="18">
        <v>152068.39000000001</v>
      </c>
      <c r="F111" s="18"/>
      <c r="G111" s="18"/>
      <c r="H111" s="18"/>
      <c r="I111" s="18"/>
      <c r="J111" s="18"/>
      <c r="K111" s="18"/>
      <c r="L111" s="10"/>
      <c r="M111" s="18"/>
      <c r="N111" s="10"/>
      <c r="O111" s="18"/>
      <c r="P111" s="18"/>
      <c r="Q111" s="18"/>
      <c r="R111" s="18"/>
      <c r="S111" s="18"/>
    </row>
    <row r="112" spans="1:19" x14ac:dyDescent="0.25">
      <c r="A112" s="9" t="s">
        <v>220</v>
      </c>
      <c r="B112" s="17" t="s">
        <v>221</v>
      </c>
      <c r="C112" s="18">
        <f t="shared" si="10"/>
        <v>240511.22</v>
      </c>
      <c r="D112" s="18"/>
      <c r="E112" s="18">
        <v>240511.22</v>
      </c>
      <c r="F112" s="18"/>
      <c r="G112" s="18"/>
      <c r="H112" s="18"/>
      <c r="I112" s="18"/>
      <c r="J112" s="18"/>
      <c r="K112" s="18"/>
      <c r="L112" s="10"/>
      <c r="M112" s="18"/>
      <c r="N112" s="10"/>
      <c r="O112" s="18"/>
      <c r="P112" s="18"/>
      <c r="Q112" s="18"/>
      <c r="R112" s="18"/>
      <c r="S112" s="18"/>
    </row>
    <row r="113" spans="1:19" x14ac:dyDescent="0.25">
      <c r="A113" s="9" t="s">
        <v>222</v>
      </c>
      <c r="B113" s="17" t="s">
        <v>223</v>
      </c>
      <c r="C113" s="18">
        <f t="shared" si="10"/>
        <v>766672.75</v>
      </c>
      <c r="D113" s="18"/>
      <c r="E113" s="18">
        <v>766672.75</v>
      </c>
      <c r="F113" s="18"/>
      <c r="G113" s="18"/>
      <c r="H113" s="18"/>
      <c r="I113" s="18"/>
      <c r="J113" s="18"/>
      <c r="K113" s="18"/>
      <c r="L113" s="10"/>
      <c r="M113" s="18"/>
      <c r="N113" s="10"/>
      <c r="O113" s="18"/>
      <c r="P113" s="18"/>
      <c r="Q113" s="18"/>
      <c r="R113" s="18"/>
      <c r="S113" s="18"/>
    </row>
    <row r="114" spans="1:19" x14ac:dyDescent="0.25">
      <c r="A114" s="9" t="s">
        <v>224</v>
      </c>
      <c r="B114" s="17" t="s">
        <v>225</v>
      </c>
      <c r="C114" s="18">
        <f t="shared" si="10"/>
        <v>514035.26</v>
      </c>
      <c r="D114" s="18"/>
      <c r="E114" s="18">
        <v>514035.26</v>
      </c>
      <c r="F114" s="18"/>
      <c r="G114" s="18"/>
      <c r="H114" s="18"/>
      <c r="I114" s="18"/>
      <c r="J114" s="18"/>
      <c r="K114" s="18"/>
      <c r="L114" s="10"/>
      <c r="M114" s="18"/>
      <c r="N114" s="10"/>
      <c r="O114" s="18"/>
      <c r="P114" s="18"/>
      <c r="Q114" s="18"/>
      <c r="R114" s="18"/>
      <c r="S114" s="18"/>
    </row>
    <row r="115" spans="1:19" x14ac:dyDescent="0.25">
      <c r="A115" s="9" t="s">
        <v>226</v>
      </c>
      <c r="B115" s="17" t="s">
        <v>227</v>
      </c>
      <c r="C115" s="18">
        <f t="shared" si="10"/>
        <v>971122.58</v>
      </c>
      <c r="D115" s="18"/>
      <c r="E115" s="18">
        <v>971122.58</v>
      </c>
      <c r="F115" s="18"/>
      <c r="G115" s="18"/>
      <c r="H115" s="18"/>
      <c r="I115" s="18"/>
      <c r="J115" s="18"/>
      <c r="K115" s="18"/>
      <c r="L115" s="10"/>
      <c r="M115" s="18"/>
      <c r="N115" s="10"/>
      <c r="O115" s="18"/>
      <c r="P115" s="18"/>
      <c r="Q115" s="18"/>
      <c r="R115" s="18"/>
      <c r="S115" s="18"/>
    </row>
    <row r="116" spans="1:19" x14ac:dyDescent="0.25">
      <c r="A116" s="9" t="s">
        <v>228</v>
      </c>
      <c r="B116" s="17" t="s">
        <v>229</v>
      </c>
      <c r="C116" s="18">
        <f t="shared" si="10"/>
        <v>699065.48</v>
      </c>
      <c r="D116" s="18"/>
      <c r="E116" s="18">
        <v>699065.48</v>
      </c>
      <c r="F116" s="18"/>
      <c r="G116" s="18"/>
      <c r="H116" s="18"/>
      <c r="I116" s="18"/>
      <c r="J116" s="18"/>
      <c r="K116" s="18"/>
      <c r="L116" s="10"/>
      <c r="M116" s="18"/>
      <c r="N116" s="10"/>
      <c r="O116" s="18"/>
      <c r="P116" s="18"/>
      <c r="Q116" s="18"/>
      <c r="R116" s="18"/>
      <c r="S116" s="18"/>
    </row>
    <row r="117" spans="1:19" x14ac:dyDescent="0.25">
      <c r="A117" s="9" t="s">
        <v>230</v>
      </c>
      <c r="B117" s="17" t="s">
        <v>231</v>
      </c>
      <c r="C117" s="18">
        <f t="shared" si="10"/>
        <v>515237.88</v>
      </c>
      <c r="D117" s="18"/>
      <c r="E117" s="18">
        <v>515237.88</v>
      </c>
      <c r="F117" s="18"/>
      <c r="G117" s="18"/>
      <c r="H117" s="18"/>
      <c r="I117" s="18"/>
      <c r="J117" s="18"/>
      <c r="K117" s="18"/>
      <c r="L117" s="10"/>
      <c r="M117" s="18"/>
      <c r="N117" s="10"/>
      <c r="O117" s="18"/>
      <c r="P117" s="18"/>
      <c r="Q117" s="18"/>
      <c r="R117" s="18"/>
      <c r="S117" s="18"/>
    </row>
    <row r="118" spans="1:19" x14ac:dyDescent="0.25">
      <c r="A118" s="9" t="s">
        <v>232</v>
      </c>
      <c r="B118" s="17" t="s">
        <v>233</v>
      </c>
      <c r="C118" s="18">
        <f t="shared" si="10"/>
        <v>182128.44</v>
      </c>
      <c r="D118" s="18"/>
      <c r="E118" s="18">
        <v>182128.44</v>
      </c>
      <c r="F118" s="18"/>
      <c r="G118" s="18"/>
      <c r="H118" s="18"/>
      <c r="I118" s="18"/>
      <c r="J118" s="18"/>
      <c r="K118" s="18"/>
      <c r="L118" s="10"/>
      <c r="M118" s="18"/>
      <c r="N118" s="10"/>
      <c r="O118" s="18"/>
      <c r="P118" s="18"/>
      <c r="Q118" s="18"/>
      <c r="R118" s="18"/>
      <c r="S118" s="18"/>
    </row>
    <row r="119" spans="1:19" x14ac:dyDescent="0.25">
      <c r="A119" s="9" t="s">
        <v>234</v>
      </c>
      <c r="B119" s="17" t="s">
        <v>235</v>
      </c>
      <c r="C119" s="18">
        <f t="shared" si="10"/>
        <v>160542.04999999999</v>
      </c>
      <c r="D119" s="18"/>
      <c r="E119" s="18">
        <v>160542.04999999999</v>
      </c>
      <c r="F119" s="18"/>
      <c r="G119" s="18"/>
      <c r="H119" s="18"/>
      <c r="I119" s="18"/>
      <c r="J119" s="18"/>
      <c r="K119" s="18"/>
      <c r="L119" s="10"/>
      <c r="M119" s="18"/>
      <c r="N119" s="10"/>
      <c r="O119" s="18"/>
      <c r="P119" s="18"/>
      <c r="Q119" s="18"/>
      <c r="R119" s="18"/>
      <c r="S119" s="18"/>
    </row>
    <row r="120" spans="1:19" x14ac:dyDescent="0.25">
      <c r="A120" s="9" t="s">
        <v>236</v>
      </c>
      <c r="B120" s="17" t="s">
        <v>2072</v>
      </c>
      <c r="C120" s="18">
        <f t="shared" si="10"/>
        <v>3452323.8399999999</v>
      </c>
      <c r="D120" s="18">
        <v>67360.77</v>
      </c>
      <c r="E120" s="18"/>
      <c r="F120" s="18"/>
      <c r="G120" s="18">
        <v>3384963.07</v>
      </c>
      <c r="H120" s="18"/>
      <c r="I120" s="18"/>
      <c r="J120" s="18"/>
      <c r="K120" s="18"/>
      <c r="L120" s="10"/>
      <c r="M120" s="18"/>
      <c r="N120" s="10"/>
      <c r="O120" s="18"/>
      <c r="P120" s="18"/>
      <c r="Q120" s="18"/>
      <c r="R120" s="18"/>
      <c r="S120" s="18"/>
    </row>
    <row r="121" spans="1:19" x14ac:dyDescent="0.25">
      <c r="A121" s="9" t="s">
        <v>237</v>
      </c>
      <c r="B121" s="17" t="s">
        <v>238</v>
      </c>
      <c r="C121" s="18">
        <f t="shared" si="10"/>
        <v>3662217.96</v>
      </c>
      <c r="D121" s="18">
        <v>71456.160000000003</v>
      </c>
      <c r="E121" s="18"/>
      <c r="F121" s="18"/>
      <c r="G121" s="18">
        <v>3590761.8</v>
      </c>
      <c r="H121" s="18"/>
      <c r="I121" s="18"/>
      <c r="J121" s="18"/>
      <c r="K121" s="18"/>
      <c r="L121" s="10"/>
      <c r="M121" s="18"/>
      <c r="N121" s="10"/>
      <c r="O121" s="18"/>
      <c r="P121" s="18"/>
      <c r="Q121" s="18"/>
      <c r="R121" s="18"/>
      <c r="S121" s="18"/>
    </row>
    <row r="122" spans="1:19" x14ac:dyDescent="0.25">
      <c r="A122" s="9" t="s">
        <v>239</v>
      </c>
      <c r="B122" s="17" t="s">
        <v>240</v>
      </c>
      <c r="C122" s="18">
        <f t="shared" si="10"/>
        <v>694679.94</v>
      </c>
      <c r="D122" s="18"/>
      <c r="E122" s="18">
        <v>694679.94</v>
      </c>
      <c r="F122" s="18"/>
      <c r="G122" s="18"/>
      <c r="H122" s="18"/>
      <c r="I122" s="18"/>
      <c r="J122" s="18"/>
      <c r="K122" s="18"/>
      <c r="L122" s="10"/>
      <c r="M122" s="18"/>
      <c r="N122" s="10"/>
      <c r="O122" s="18"/>
      <c r="P122" s="18"/>
      <c r="Q122" s="18"/>
      <c r="R122" s="18"/>
      <c r="S122" s="18"/>
    </row>
    <row r="123" spans="1:19" x14ac:dyDescent="0.25">
      <c r="A123" s="9" t="s">
        <v>241</v>
      </c>
      <c r="B123" s="17" t="s">
        <v>242</v>
      </c>
      <c r="C123" s="18">
        <f t="shared" si="10"/>
        <v>576933.38</v>
      </c>
      <c r="D123" s="18"/>
      <c r="E123" s="18">
        <v>576933.38</v>
      </c>
      <c r="F123" s="18"/>
      <c r="G123" s="18"/>
      <c r="H123" s="18"/>
      <c r="I123" s="18"/>
      <c r="J123" s="18"/>
      <c r="K123" s="18"/>
      <c r="L123" s="10"/>
      <c r="M123" s="18"/>
      <c r="N123" s="10"/>
      <c r="O123" s="18"/>
      <c r="P123" s="18"/>
      <c r="Q123" s="18"/>
      <c r="R123" s="18"/>
      <c r="S123" s="18"/>
    </row>
    <row r="124" spans="1:19" x14ac:dyDescent="0.25">
      <c r="A124" s="9" t="s">
        <v>243</v>
      </c>
      <c r="B124" s="17" t="s">
        <v>244</v>
      </c>
      <c r="C124" s="18">
        <f t="shared" si="10"/>
        <v>576090.26</v>
      </c>
      <c r="D124" s="18"/>
      <c r="E124" s="18">
        <v>576090.26</v>
      </c>
      <c r="F124" s="18"/>
      <c r="G124" s="18"/>
      <c r="H124" s="18"/>
      <c r="I124" s="18"/>
      <c r="J124" s="18"/>
      <c r="K124" s="18"/>
      <c r="L124" s="10"/>
      <c r="M124" s="18"/>
      <c r="N124" s="10"/>
      <c r="O124" s="18"/>
      <c r="P124" s="18"/>
      <c r="Q124" s="18"/>
      <c r="R124" s="18"/>
      <c r="S124" s="18"/>
    </row>
    <row r="125" spans="1:19" x14ac:dyDescent="0.25">
      <c r="A125" s="9" t="s">
        <v>245</v>
      </c>
      <c r="B125" s="17" t="s">
        <v>246</v>
      </c>
      <c r="C125" s="18">
        <f t="shared" si="10"/>
        <v>173633.72</v>
      </c>
      <c r="D125" s="18"/>
      <c r="E125" s="18">
        <v>173633.72</v>
      </c>
      <c r="F125" s="18"/>
      <c r="G125" s="18"/>
      <c r="H125" s="18"/>
      <c r="I125" s="18"/>
      <c r="J125" s="18"/>
      <c r="K125" s="18"/>
      <c r="L125" s="10"/>
      <c r="M125" s="18"/>
      <c r="N125" s="10"/>
      <c r="O125" s="18"/>
      <c r="P125" s="18"/>
      <c r="Q125" s="18"/>
      <c r="R125" s="18"/>
      <c r="S125" s="18"/>
    </row>
    <row r="126" spans="1:19" x14ac:dyDescent="0.25">
      <c r="A126" s="9" t="s">
        <v>247</v>
      </c>
      <c r="B126" s="17" t="s">
        <v>248</v>
      </c>
      <c r="C126" s="18">
        <f t="shared" si="10"/>
        <v>646881.67000000004</v>
      </c>
      <c r="D126" s="18"/>
      <c r="E126" s="18">
        <v>646881.67000000004</v>
      </c>
      <c r="F126" s="18"/>
      <c r="G126" s="18"/>
      <c r="H126" s="18"/>
      <c r="I126" s="18"/>
      <c r="J126" s="18"/>
      <c r="K126" s="18"/>
      <c r="L126" s="10"/>
      <c r="M126" s="18"/>
      <c r="N126" s="10"/>
      <c r="O126" s="18"/>
      <c r="P126" s="18"/>
      <c r="Q126" s="18"/>
      <c r="R126" s="18"/>
      <c r="S126" s="18"/>
    </row>
    <row r="127" spans="1:19" x14ac:dyDescent="0.25">
      <c r="A127" s="9" t="s">
        <v>249</v>
      </c>
      <c r="B127" s="17" t="s">
        <v>250</v>
      </c>
      <c r="C127" s="18">
        <f t="shared" si="10"/>
        <v>176644.19</v>
      </c>
      <c r="D127" s="18"/>
      <c r="E127" s="18">
        <v>176644.19</v>
      </c>
      <c r="F127" s="18"/>
      <c r="G127" s="18"/>
      <c r="H127" s="18"/>
      <c r="I127" s="18"/>
      <c r="J127" s="18"/>
      <c r="K127" s="18"/>
      <c r="L127" s="10"/>
      <c r="M127" s="18"/>
      <c r="N127" s="10"/>
      <c r="O127" s="18"/>
      <c r="P127" s="18"/>
      <c r="Q127" s="18"/>
      <c r="R127" s="18"/>
      <c r="S127" s="18"/>
    </row>
    <row r="128" spans="1:19" x14ac:dyDescent="0.25">
      <c r="A128" s="9" t="s">
        <v>251</v>
      </c>
      <c r="B128" s="17" t="s">
        <v>252</v>
      </c>
      <c r="C128" s="18">
        <f t="shared" si="10"/>
        <v>718106.39</v>
      </c>
      <c r="D128" s="18"/>
      <c r="E128" s="18">
        <v>718106.39</v>
      </c>
      <c r="F128" s="18"/>
      <c r="G128" s="18"/>
      <c r="H128" s="18"/>
      <c r="I128" s="18"/>
      <c r="J128" s="18"/>
      <c r="K128" s="18"/>
      <c r="L128" s="10"/>
      <c r="M128" s="18"/>
      <c r="N128" s="10"/>
      <c r="O128" s="18"/>
      <c r="P128" s="18"/>
      <c r="Q128" s="18"/>
      <c r="R128" s="18"/>
      <c r="S128" s="18"/>
    </row>
    <row r="129" spans="1:19" x14ac:dyDescent="0.25">
      <c r="A129" s="9" t="s">
        <v>253</v>
      </c>
      <c r="B129" s="17" t="s">
        <v>254</v>
      </c>
      <c r="C129" s="18">
        <f t="shared" si="10"/>
        <v>173277.12</v>
      </c>
      <c r="D129" s="18"/>
      <c r="E129" s="18">
        <v>173277.12</v>
      </c>
      <c r="F129" s="18"/>
      <c r="G129" s="18"/>
      <c r="H129" s="18"/>
      <c r="I129" s="18"/>
      <c r="J129" s="18"/>
      <c r="K129" s="18"/>
      <c r="L129" s="10"/>
      <c r="M129" s="18"/>
      <c r="N129" s="10"/>
      <c r="O129" s="18"/>
      <c r="P129" s="18"/>
      <c r="Q129" s="18"/>
      <c r="R129" s="18"/>
      <c r="S129" s="18"/>
    </row>
    <row r="130" spans="1:19" x14ac:dyDescent="0.25">
      <c r="A130" s="9" t="s">
        <v>255</v>
      </c>
      <c r="B130" s="17" t="s">
        <v>256</v>
      </c>
      <c r="C130" s="18">
        <f t="shared" si="10"/>
        <v>314374.94</v>
      </c>
      <c r="D130" s="18"/>
      <c r="E130" s="18">
        <v>314374.94</v>
      </c>
      <c r="F130" s="18"/>
      <c r="G130" s="18"/>
      <c r="H130" s="18"/>
      <c r="I130" s="18"/>
      <c r="J130" s="18"/>
      <c r="K130" s="18"/>
      <c r="L130" s="10"/>
      <c r="M130" s="18"/>
      <c r="N130" s="10"/>
      <c r="O130" s="18"/>
      <c r="P130" s="18"/>
      <c r="Q130" s="18"/>
      <c r="R130" s="18"/>
      <c r="S130" s="18"/>
    </row>
    <row r="131" spans="1:19" ht="15" customHeight="1" x14ac:dyDescent="0.25">
      <c r="A131" s="17"/>
      <c r="B131" s="17" t="s">
        <v>257</v>
      </c>
      <c r="C131" s="18">
        <f>ROUND(D131+E131+F131+G131+H131+I131+J131+K131+M131+O131+P131+Q131+R131+S131,2)</f>
        <v>18492951.77</v>
      </c>
      <c r="D131" s="18">
        <f t="shared" ref="D131:S131" si="11">SUM(D101:D130)</f>
        <v>138816.93</v>
      </c>
      <c r="E131" s="18">
        <f t="shared" si="11"/>
        <v>11378409.970000001</v>
      </c>
      <c r="F131" s="18">
        <f t="shared" si="11"/>
        <v>0</v>
      </c>
      <c r="G131" s="18">
        <f t="shared" si="11"/>
        <v>6975724.8699999992</v>
      </c>
      <c r="H131" s="18">
        <f t="shared" si="11"/>
        <v>0</v>
      </c>
      <c r="I131" s="18">
        <f t="shared" si="11"/>
        <v>0</v>
      </c>
      <c r="J131" s="18">
        <f t="shared" si="11"/>
        <v>0</v>
      </c>
      <c r="K131" s="18">
        <f t="shared" si="11"/>
        <v>0</v>
      </c>
      <c r="L131" s="10">
        <f t="shared" si="11"/>
        <v>0</v>
      </c>
      <c r="M131" s="18">
        <f t="shared" si="11"/>
        <v>0</v>
      </c>
      <c r="N131" s="18" t="s">
        <v>42</v>
      </c>
      <c r="O131" s="18">
        <f t="shared" si="11"/>
        <v>0</v>
      </c>
      <c r="P131" s="18">
        <f t="shared" si="11"/>
        <v>0</v>
      </c>
      <c r="Q131" s="18">
        <f t="shared" si="11"/>
        <v>0</v>
      </c>
      <c r="R131" s="18">
        <f t="shared" si="11"/>
        <v>0</v>
      </c>
      <c r="S131" s="18">
        <f t="shared" si="11"/>
        <v>0</v>
      </c>
    </row>
    <row r="132" spans="1:19" ht="15" customHeight="1" x14ac:dyDescent="0.25">
      <c r="A132" s="12"/>
      <c r="B132" s="12" t="s">
        <v>258</v>
      </c>
      <c r="C132" s="19"/>
      <c r="D132" s="13"/>
      <c r="E132" s="13"/>
      <c r="F132" s="13"/>
      <c r="G132" s="13"/>
      <c r="H132" s="13"/>
      <c r="I132" s="13"/>
      <c r="J132" s="13"/>
      <c r="K132" s="13"/>
      <c r="L132" s="14"/>
      <c r="M132" s="13"/>
      <c r="N132" s="14"/>
      <c r="O132" s="13"/>
      <c r="P132" s="13"/>
      <c r="Q132" s="13"/>
      <c r="R132" s="13"/>
      <c r="S132" s="13"/>
    </row>
    <row r="133" spans="1:19" x14ac:dyDescent="0.25">
      <c r="A133" s="9" t="s">
        <v>259</v>
      </c>
      <c r="B133" s="17" t="s">
        <v>260</v>
      </c>
      <c r="C133" s="18">
        <f t="shared" ref="C133:C146" si="12">ROUNDUP(SUM(D133+E133+F133+G133+H133+I133+J133+K133+M133+O133+P133+Q133+R133+S133),2)</f>
        <v>8644822.1300000008</v>
      </c>
      <c r="D133" s="18">
        <v>176912.53</v>
      </c>
      <c r="E133" s="18">
        <v>74793.05</v>
      </c>
      <c r="F133" s="18"/>
      <c r="G133" s="18"/>
      <c r="H133" s="18"/>
      <c r="I133" s="18"/>
      <c r="J133" s="18"/>
      <c r="K133" s="18"/>
      <c r="L133" s="10">
        <v>4</v>
      </c>
      <c r="M133" s="18">
        <v>8393116.5500000007</v>
      </c>
      <c r="N133" s="10"/>
      <c r="O133" s="18"/>
      <c r="P133" s="18"/>
      <c r="Q133" s="18"/>
      <c r="R133" s="18"/>
      <c r="S133" s="18"/>
    </row>
    <row r="134" spans="1:19" x14ac:dyDescent="0.25">
      <c r="A134" s="9" t="s">
        <v>261</v>
      </c>
      <c r="B134" s="17" t="s">
        <v>262</v>
      </c>
      <c r="C134" s="18">
        <f t="shared" si="12"/>
        <v>819888.51</v>
      </c>
      <c r="D134" s="18"/>
      <c r="E134" s="18">
        <v>819888.51</v>
      </c>
      <c r="F134" s="18"/>
      <c r="G134" s="18"/>
      <c r="H134" s="18"/>
      <c r="I134" s="18"/>
      <c r="J134" s="18"/>
      <c r="K134" s="18"/>
      <c r="L134" s="10"/>
      <c r="M134" s="18"/>
      <c r="N134" s="10"/>
      <c r="O134" s="18"/>
      <c r="P134" s="18"/>
      <c r="Q134" s="18"/>
      <c r="R134" s="18"/>
      <c r="S134" s="18"/>
    </row>
    <row r="135" spans="1:19" x14ac:dyDescent="0.25">
      <c r="A135" s="9" t="s">
        <v>263</v>
      </c>
      <c r="B135" s="17" t="s">
        <v>264</v>
      </c>
      <c r="C135" s="18">
        <f t="shared" si="12"/>
        <v>246804.35</v>
      </c>
      <c r="D135" s="18"/>
      <c r="E135" s="18">
        <v>246804.35</v>
      </c>
      <c r="F135" s="18"/>
      <c r="G135" s="18"/>
      <c r="H135" s="18"/>
      <c r="I135" s="18"/>
      <c r="J135" s="18"/>
      <c r="K135" s="18"/>
      <c r="L135" s="10"/>
      <c r="M135" s="18"/>
      <c r="N135" s="10"/>
      <c r="O135" s="18"/>
      <c r="P135" s="18"/>
      <c r="Q135" s="18"/>
      <c r="R135" s="18"/>
      <c r="S135" s="18"/>
    </row>
    <row r="136" spans="1:19" x14ac:dyDescent="0.25">
      <c r="A136" s="9" t="s">
        <v>265</v>
      </c>
      <c r="B136" s="17" t="s">
        <v>266</v>
      </c>
      <c r="C136" s="18">
        <f t="shared" si="12"/>
        <v>289582.28000000003</v>
      </c>
      <c r="D136" s="18"/>
      <c r="E136" s="18">
        <v>289582.28000000003</v>
      </c>
      <c r="F136" s="18"/>
      <c r="G136" s="18"/>
      <c r="H136" s="18"/>
      <c r="I136" s="18"/>
      <c r="J136" s="18"/>
      <c r="K136" s="18"/>
      <c r="L136" s="10"/>
      <c r="M136" s="18"/>
      <c r="N136" s="10"/>
      <c r="O136" s="18"/>
      <c r="P136" s="18"/>
      <c r="Q136" s="18"/>
      <c r="R136" s="18"/>
      <c r="S136" s="18"/>
    </row>
    <row r="137" spans="1:19" x14ac:dyDescent="0.25">
      <c r="A137" s="9" t="s">
        <v>267</v>
      </c>
      <c r="B137" s="17" t="s">
        <v>268</v>
      </c>
      <c r="C137" s="18">
        <f t="shared" si="12"/>
        <v>894872.68</v>
      </c>
      <c r="D137" s="18"/>
      <c r="E137" s="18">
        <v>894872.68</v>
      </c>
      <c r="F137" s="18"/>
      <c r="G137" s="18"/>
      <c r="H137" s="18"/>
      <c r="I137" s="18"/>
      <c r="J137" s="18"/>
      <c r="K137" s="18"/>
      <c r="L137" s="10"/>
      <c r="M137" s="18"/>
      <c r="N137" s="10"/>
      <c r="O137" s="18"/>
      <c r="P137" s="18"/>
      <c r="Q137" s="18"/>
      <c r="R137" s="18"/>
      <c r="S137" s="18"/>
    </row>
    <row r="138" spans="1:19" x14ac:dyDescent="0.25">
      <c r="A138" s="9" t="s">
        <v>269</v>
      </c>
      <c r="B138" s="17" t="s">
        <v>270</v>
      </c>
      <c r="C138" s="18">
        <f t="shared" si="12"/>
        <v>282865.5</v>
      </c>
      <c r="D138" s="18"/>
      <c r="E138" s="18">
        <v>282865.5</v>
      </c>
      <c r="F138" s="18"/>
      <c r="G138" s="18"/>
      <c r="H138" s="18"/>
      <c r="I138" s="18"/>
      <c r="J138" s="18"/>
      <c r="K138" s="18"/>
      <c r="L138" s="10"/>
      <c r="M138" s="18"/>
      <c r="N138" s="10"/>
      <c r="O138" s="18"/>
      <c r="P138" s="18"/>
      <c r="Q138" s="18"/>
      <c r="R138" s="18"/>
      <c r="S138" s="18"/>
    </row>
    <row r="139" spans="1:19" x14ac:dyDescent="0.25">
      <c r="A139" s="9" t="s">
        <v>271</v>
      </c>
      <c r="B139" s="17" t="s">
        <v>272</v>
      </c>
      <c r="C139" s="18">
        <f t="shared" si="12"/>
        <v>638285.18000000005</v>
      </c>
      <c r="D139" s="18"/>
      <c r="E139" s="18">
        <v>638285.18000000005</v>
      </c>
      <c r="F139" s="18"/>
      <c r="G139" s="18"/>
      <c r="H139" s="18"/>
      <c r="I139" s="18"/>
      <c r="J139" s="18"/>
      <c r="K139" s="18"/>
      <c r="L139" s="10"/>
      <c r="M139" s="18"/>
      <c r="N139" s="10"/>
      <c r="O139" s="18"/>
      <c r="P139" s="18"/>
      <c r="Q139" s="18"/>
      <c r="R139" s="18"/>
      <c r="S139" s="18"/>
    </row>
    <row r="140" spans="1:19" x14ac:dyDescent="0.25">
      <c r="A140" s="9" t="s">
        <v>273</v>
      </c>
      <c r="B140" s="17" t="s">
        <v>274</v>
      </c>
      <c r="C140" s="18">
        <f t="shared" si="12"/>
        <v>832464.03</v>
      </c>
      <c r="D140" s="18"/>
      <c r="E140" s="18">
        <v>832464.03</v>
      </c>
      <c r="F140" s="18"/>
      <c r="G140" s="18"/>
      <c r="H140" s="18"/>
      <c r="I140" s="18"/>
      <c r="J140" s="18"/>
      <c r="K140" s="18"/>
      <c r="L140" s="10"/>
      <c r="M140" s="18"/>
      <c r="N140" s="10"/>
      <c r="O140" s="18"/>
      <c r="P140" s="18"/>
      <c r="Q140" s="18"/>
      <c r="R140" s="18"/>
      <c r="S140" s="18"/>
    </row>
    <row r="141" spans="1:19" x14ac:dyDescent="0.25">
      <c r="A141" s="9" t="s">
        <v>275</v>
      </c>
      <c r="B141" s="17" t="s">
        <v>276</v>
      </c>
      <c r="C141" s="18">
        <f t="shared" si="12"/>
        <v>652924.93999999994</v>
      </c>
      <c r="D141" s="18"/>
      <c r="E141" s="18">
        <v>652924.93999999994</v>
      </c>
      <c r="F141" s="18"/>
      <c r="G141" s="18"/>
      <c r="H141" s="18"/>
      <c r="I141" s="18"/>
      <c r="J141" s="18"/>
      <c r="K141" s="18"/>
      <c r="L141" s="10"/>
      <c r="M141" s="18"/>
      <c r="N141" s="10"/>
      <c r="O141" s="18"/>
      <c r="P141" s="18"/>
      <c r="Q141" s="18"/>
      <c r="R141" s="18"/>
      <c r="S141" s="18"/>
    </row>
    <row r="142" spans="1:19" x14ac:dyDescent="0.25">
      <c r="A142" s="9" t="s">
        <v>277</v>
      </c>
      <c r="B142" s="17" t="s">
        <v>278</v>
      </c>
      <c r="C142" s="18">
        <f t="shared" si="12"/>
        <v>1300386.48</v>
      </c>
      <c r="D142" s="18"/>
      <c r="E142" s="18">
        <v>1300386.48</v>
      </c>
      <c r="F142" s="18"/>
      <c r="G142" s="18"/>
      <c r="H142" s="18"/>
      <c r="I142" s="18"/>
      <c r="J142" s="18"/>
      <c r="K142" s="18"/>
      <c r="L142" s="10"/>
      <c r="M142" s="18"/>
      <c r="N142" s="10"/>
      <c r="O142" s="18"/>
      <c r="P142" s="18"/>
      <c r="Q142" s="18"/>
      <c r="R142" s="18"/>
      <c r="S142" s="18"/>
    </row>
    <row r="143" spans="1:19" x14ac:dyDescent="0.25">
      <c r="A143" s="9" t="s">
        <v>279</v>
      </c>
      <c r="B143" s="17" t="s">
        <v>280</v>
      </c>
      <c r="C143" s="18">
        <f t="shared" si="12"/>
        <v>285996.42</v>
      </c>
      <c r="D143" s="18"/>
      <c r="E143" s="18">
        <v>285996.42</v>
      </c>
      <c r="F143" s="18"/>
      <c r="G143" s="18"/>
      <c r="H143" s="18"/>
      <c r="I143" s="18"/>
      <c r="J143" s="18"/>
      <c r="K143" s="18"/>
      <c r="L143" s="10"/>
      <c r="M143" s="18"/>
      <c r="N143" s="10"/>
      <c r="O143" s="18"/>
      <c r="P143" s="18"/>
      <c r="Q143" s="18"/>
      <c r="R143" s="18"/>
      <c r="S143" s="18"/>
    </row>
    <row r="144" spans="1:19" x14ac:dyDescent="0.25">
      <c r="A144" s="9" t="s">
        <v>281</v>
      </c>
      <c r="B144" s="17" t="s">
        <v>282</v>
      </c>
      <c r="C144" s="18">
        <f t="shared" si="12"/>
        <v>637583.64</v>
      </c>
      <c r="D144" s="18"/>
      <c r="E144" s="18">
        <v>637583.64</v>
      </c>
      <c r="F144" s="18"/>
      <c r="G144" s="18"/>
      <c r="H144" s="18"/>
      <c r="I144" s="18"/>
      <c r="J144" s="18"/>
      <c r="K144" s="18"/>
      <c r="L144" s="10"/>
      <c r="M144" s="18"/>
      <c r="N144" s="10"/>
      <c r="O144" s="18"/>
      <c r="P144" s="18"/>
      <c r="Q144" s="18"/>
      <c r="R144" s="18"/>
      <c r="S144" s="18"/>
    </row>
    <row r="145" spans="1:19" x14ac:dyDescent="0.25">
      <c r="A145" s="9" t="s">
        <v>283</v>
      </c>
      <c r="B145" s="17" t="s">
        <v>284</v>
      </c>
      <c r="C145" s="18">
        <f t="shared" si="12"/>
        <v>130982.59</v>
      </c>
      <c r="D145" s="18"/>
      <c r="E145" s="18">
        <v>130982.59</v>
      </c>
      <c r="F145" s="18"/>
      <c r="G145" s="18"/>
      <c r="H145" s="18"/>
      <c r="I145" s="18"/>
      <c r="J145" s="18"/>
      <c r="K145" s="18"/>
      <c r="L145" s="10"/>
      <c r="M145" s="18"/>
      <c r="N145" s="10"/>
      <c r="O145" s="18"/>
      <c r="P145" s="18"/>
      <c r="Q145" s="18"/>
      <c r="R145" s="18"/>
      <c r="S145" s="18"/>
    </row>
    <row r="146" spans="1:19" x14ac:dyDescent="0.25">
      <c r="A146" s="9" t="s">
        <v>285</v>
      </c>
      <c r="B146" s="17" t="s">
        <v>286</v>
      </c>
      <c r="C146" s="18">
        <f t="shared" si="12"/>
        <v>40851.54</v>
      </c>
      <c r="D146" s="18"/>
      <c r="E146" s="18">
        <v>40851.54</v>
      </c>
      <c r="F146" s="18"/>
      <c r="G146" s="18"/>
      <c r="H146" s="18"/>
      <c r="I146" s="18"/>
      <c r="J146" s="18"/>
      <c r="K146" s="18"/>
      <c r="L146" s="10"/>
      <c r="M146" s="18"/>
      <c r="N146" s="10"/>
      <c r="O146" s="18"/>
      <c r="P146" s="18"/>
      <c r="Q146" s="18"/>
      <c r="R146" s="18"/>
      <c r="S146" s="18"/>
    </row>
    <row r="147" spans="1:19" ht="15" customHeight="1" x14ac:dyDescent="0.25">
      <c r="A147" s="17"/>
      <c r="B147" s="17" t="s">
        <v>287</v>
      </c>
      <c r="C147" s="18">
        <f>ROUND(D147+E147+F147+G147+H147+I147+J147+K147+M147+O147+P147+Q147+R147+S147,2)</f>
        <v>15698310.27</v>
      </c>
      <c r="D147" s="18">
        <f t="shared" ref="D147:S147" si="13">SUM(D133:D146)</f>
        <v>176912.53</v>
      </c>
      <c r="E147" s="18">
        <f t="shared" si="13"/>
        <v>7128281.1899999995</v>
      </c>
      <c r="F147" s="18">
        <f t="shared" si="13"/>
        <v>0</v>
      </c>
      <c r="G147" s="18">
        <f t="shared" si="13"/>
        <v>0</v>
      </c>
      <c r="H147" s="18">
        <f t="shared" si="13"/>
        <v>0</v>
      </c>
      <c r="I147" s="18">
        <f t="shared" si="13"/>
        <v>0</v>
      </c>
      <c r="J147" s="18">
        <f t="shared" si="13"/>
        <v>0</v>
      </c>
      <c r="K147" s="18">
        <f t="shared" si="13"/>
        <v>0</v>
      </c>
      <c r="L147" s="10">
        <f t="shared" si="13"/>
        <v>4</v>
      </c>
      <c r="M147" s="18">
        <f t="shared" si="13"/>
        <v>8393116.5500000007</v>
      </c>
      <c r="N147" s="18" t="s">
        <v>42</v>
      </c>
      <c r="O147" s="18">
        <f t="shared" si="13"/>
        <v>0</v>
      </c>
      <c r="P147" s="18">
        <f t="shared" si="13"/>
        <v>0</v>
      </c>
      <c r="Q147" s="18">
        <f t="shared" si="13"/>
        <v>0</v>
      </c>
      <c r="R147" s="18">
        <f t="shared" si="13"/>
        <v>0</v>
      </c>
      <c r="S147" s="18">
        <f t="shared" si="13"/>
        <v>0</v>
      </c>
    </row>
    <row r="148" spans="1:19" ht="15" customHeight="1" x14ac:dyDescent="0.25">
      <c r="A148" s="12"/>
      <c r="B148" s="12" t="s">
        <v>288</v>
      </c>
      <c r="C148" s="19"/>
      <c r="D148" s="13"/>
      <c r="E148" s="13"/>
      <c r="F148" s="13"/>
      <c r="G148" s="13"/>
      <c r="H148" s="13"/>
      <c r="I148" s="13"/>
      <c r="J148" s="13"/>
      <c r="K148" s="13"/>
      <c r="L148" s="14"/>
      <c r="M148" s="13"/>
      <c r="N148" s="14"/>
      <c r="O148" s="13"/>
      <c r="P148" s="13"/>
      <c r="Q148" s="13"/>
      <c r="R148" s="13"/>
      <c r="S148" s="13"/>
    </row>
    <row r="149" spans="1:19" x14ac:dyDescent="0.25">
      <c r="A149" s="9" t="s">
        <v>289</v>
      </c>
      <c r="B149" s="17" t="s">
        <v>290</v>
      </c>
      <c r="C149" s="18">
        <f t="shared" ref="C149:C180" si="14">ROUNDUP(SUM(D149+E149+F149+G149+H149+I149+J149+K149+M149+O149+P149+Q149+R149+S149),2)</f>
        <v>203563.54</v>
      </c>
      <c r="D149" s="18"/>
      <c r="E149" s="18">
        <v>203563.54</v>
      </c>
      <c r="F149" s="18"/>
      <c r="G149" s="18"/>
      <c r="H149" s="18"/>
      <c r="I149" s="18"/>
      <c r="J149" s="18"/>
      <c r="K149" s="18"/>
      <c r="L149" s="10"/>
      <c r="M149" s="18"/>
      <c r="N149" s="10"/>
      <c r="O149" s="18"/>
      <c r="P149" s="18"/>
      <c r="Q149" s="18"/>
      <c r="R149" s="18"/>
      <c r="S149" s="18"/>
    </row>
    <row r="150" spans="1:19" x14ac:dyDescent="0.25">
      <c r="A150" s="9" t="s">
        <v>291</v>
      </c>
      <c r="B150" s="17" t="s">
        <v>292</v>
      </c>
      <c r="C150" s="18">
        <f t="shared" si="14"/>
        <v>106252.62</v>
      </c>
      <c r="D150" s="18"/>
      <c r="E150" s="18">
        <v>106252.62</v>
      </c>
      <c r="F150" s="18"/>
      <c r="G150" s="18"/>
      <c r="H150" s="18"/>
      <c r="I150" s="18"/>
      <c r="J150" s="18"/>
      <c r="K150" s="18"/>
      <c r="L150" s="10"/>
      <c r="M150" s="18"/>
      <c r="N150" s="10"/>
      <c r="O150" s="18"/>
      <c r="P150" s="18"/>
      <c r="Q150" s="18"/>
      <c r="R150" s="18"/>
      <c r="S150" s="18"/>
    </row>
    <row r="151" spans="1:19" x14ac:dyDescent="0.25">
      <c r="A151" s="9" t="s">
        <v>293</v>
      </c>
      <c r="B151" s="17" t="s">
        <v>294</v>
      </c>
      <c r="C151" s="18">
        <f t="shared" si="14"/>
        <v>130948.49</v>
      </c>
      <c r="D151" s="18"/>
      <c r="E151" s="18">
        <v>130948.49</v>
      </c>
      <c r="F151" s="18"/>
      <c r="G151" s="18"/>
      <c r="H151" s="18"/>
      <c r="I151" s="18"/>
      <c r="J151" s="18"/>
      <c r="K151" s="18"/>
      <c r="L151" s="10"/>
      <c r="M151" s="18"/>
      <c r="N151" s="10"/>
      <c r="O151" s="18"/>
      <c r="P151" s="18"/>
      <c r="Q151" s="18"/>
      <c r="R151" s="18"/>
      <c r="S151" s="18"/>
    </row>
    <row r="152" spans="1:19" x14ac:dyDescent="0.25">
      <c r="A152" s="9" t="s">
        <v>295</v>
      </c>
      <c r="B152" s="17" t="s">
        <v>296</v>
      </c>
      <c r="C152" s="18">
        <f t="shared" si="14"/>
        <v>94600.67</v>
      </c>
      <c r="D152" s="18"/>
      <c r="E152" s="18">
        <v>94600.67</v>
      </c>
      <c r="F152" s="18"/>
      <c r="G152" s="18"/>
      <c r="H152" s="18"/>
      <c r="I152" s="18"/>
      <c r="J152" s="18"/>
      <c r="K152" s="18"/>
      <c r="L152" s="10"/>
      <c r="M152" s="18"/>
      <c r="N152" s="10"/>
      <c r="O152" s="18"/>
      <c r="P152" s="18"/>
      <c r="Q152" s="18"/>
      <c r="R152" s="18"/>
      <c r="S152" s="18"/>
    </row>
    <row r="153" spans="1:19" x14ac:dyDescent="0.25">
      <c r="A153" s="9" t="s">
        <v>297</v>
      </c>
      <c r="B153" s="17" t="s">
        <v>298</v>
      </c>
      <c r="C153" s="18">
        <f t="shared" si="14"/>
        <v>374947.19</v>
      </c>
      <c r="D153" s="18"/>
      <c r="E153" s="18">
        <v>374947.19</v>
      </c>
      <c r="F153" s="18"/>
      <c r="G153" s="18"/>
      <c r="H153" s="18"/>
      <c r="I153" s="18"/>
      <c r="J153" s="18"/>
      <c r="K153" s="18"/>
      <c r="L153" s="10"/>
      <c r="M153" s="18"/>
      <c r="N153" s="10"/>
      <c r="O153" s="18"/>
      <c r="P153" s="18"/>
      <c r="Q153" s="18"/>
      <c r="R153" s="18"/>
      <c r="S153" s="18"/>
    </row>
    <row r="154" spans="1:19" x14ac:dyDescent="0.25">
      <c r="A154" s="9" t="s">
        <v>299</v>
      </c>
      <c r="B154" s="17" t="s">
        <v>300</v>
      </c>
      <c r="C154" s="18">
        <f t="shared" si="14"/>
        <v>242547.29</v>
      </c>
      <c r="D154" s="18"/>
      <c r="E154" s="18">
        <v>242547.29</v>
      </c>
      <c r="F154" s="18"/>
      <c r="G154" s="18"/>
      <c r="H154" s="18"/>
      <c r="I154" s="18"/>
      <c r="J154" s="18"/>
      <c r="K154" s="18"/>
      <c r="L154" s="10"/>
      <c r="M154" s="18"/>
      <c r="N154" s="10"/>
      <c r="O154" s="18"/>
      <c r="P154" s="18"/>
      <c r="Q154" s="18"/>
      <c r="R154" s="18"/>
      <c r="S154" s="18"/>
    </row>
    <row r="155" spans="1:19" x14ac:dyDescent="0.25">
      <c r="A155" s="9" t="s">
        <v>301</v>
      </c>
      <c r="B155" s="17" t="s">
        <v>302</v>
      </c>
      <c r="C155" s="18">
        <f t="shared" si="14"/>
        <v>241130.72</v>
      </c>
      <c r="D155" s="18"/>
      <c r="E155" s="18">
        <v>241130.72</v>
      </c>
      <c r="F155" s="18"/>
      <c r="G155" s="18"/>
      <c r="H155" s="18"/>
      <c r="I155" s="18"/>
      <c r="J155" s="18"/>
      <c r="K155" s="18"/>
      <c r="L155" s="10"/>
      <c r="M155" s="18"/>
      <c r="N155" s="10"/>
      <c r="O155" s="18"/>
      <c r="P155" s="18"/>
      <c r="Q155" s="18"/>
      <c r="R155" s="18"/>
      <c r="S155" s="18"/>
    </row>
    <row r="156" spans="1:19" x14ac:dyDescent="0.25">
      <c r="A156" s="9" t="s">
        <v>303</v>
      </c>
      <c r="B156" s="17" t="s">
        <v>304</v>
      </c>
      <c r="C156" s="18">
        <f t="shared" si="14"/>
        <v>130282.85</v>
      </c>
      <c r="D156" s="18"/>
      <c r="E156" s="18">
        <v>130282.85</v>
      </c>
      <c r="F156" s="18"/>
      <c r="G156" s="18"/>
      <c r="H156" s="18"/>
      <c r="I156" s="18"/>
      <c r="J156" s="18"/>
      <c r="K156" s="18"/>
      <c r="L156" s="10"/>
      <c r="M156" s="18"/>
      <c r="N156" s="10"/>
      <c r="O156" s="18"/>
      <c r="P156" s="18"/>
      <c r="Q156" s="18"/>
      <c r="R156" s="18"/>
      <c r="S156" s="18"/>
    </row>
    <row r="157" spans="1:19" x14ac:dyDescent="0.25">
      <c r="A157" s="9" t="s">
        <v>305</v>
      </c>
      <c r="B157" s="17" t="s">
        <v>306</v>
      </c>
      <c r="C157" s="18">
        <f t="shared" si="14"/>
        <v>341644.22</v>
      </c>
      <c r="D157" s="18"/>
      <c r="E157" s="18">
        <v>341644.22</v>
      </c>
      <c r="F157" s="18"/>
      <c r="G157" s="18"/>
      <c r="H157" s="18"/>
      <c r="I157" s="18"/>
      <c r="J157" s="18"/>
      <c r="K157" s="18"/>
      <c r="L157" s="10"/>
      <c r="M157" s="18"/>
      <c r="N157" s="10"/>
      <c r="O157" s="18"/>
      <c r="P157" s="18"/>
      <c r="Q157" s="18"/>
      <c r="R157" s="18"/>
      <c r="S157" s="18"/>
    </row>
    <row r="158" spans="1:19" x14ac:dyDescent="0.25">
      <c r="A158" s="9" t="s">
        <v>307</v>
      </c>
      <c r="B158" s="17" t="s">
        <v>308</v>
      </c>
      <c r="C158" s="18">
        <f t="shared" si="14"/>
        <v>712977.08</v>
      </c>
      <c r="D158" s="18"/>
      <c r="E158" s="18">
        <v>712977.08</v>
      </c>
      <c r="F158" s="18"/>
      <c r="G158" s="18"/>
      <c r="H158" s="18"/>
      <c r="I158" s="18"/>
      <c r="J158" s="18"/>
      <c r="K158" s="18"/>
      <c r="L158" s="10"/>
      <c r="M158" s="18"/>
      <c r="N158" s="10"/>
      <c r="O158" s="18"/>
      <c r="P158" s="18"/>
      <c r="Q158" s="18"/>
      <c r="R158" s="18"/>
      <c r="S158" s="18"/>
    </row>
    <row r="159" spans="1:19" x14ac:dyDescent="0.25">
      <c r="A159" s="9" t="s">
        <v>309</v>
      </c>
      <c r="B159" s="17" t="s">
        <v>310</v>
      </c>
      <c r="C159" s="18">
        <f t="shared" si="14"/>
        <v>584747.68999999994</v>
      </c>
      <c r="D159" s="18"/>
      <c r="E159" s="18">
        <v>584747.68999999994</v>
      </c>
      <c r="F159" s="18"/>
      <c r="G159" s="18"/>
      <c r="H159" s="18"/>
      <c r="I159" s="18"/>
      <c r="J159" s="18"/>
      <c r="K159" s="18"/>
      <c r="L159" s="10"/>
      <c r="M159" s="18"/>
      <c r="N159" s="10"/>
      <c r="O159" s="18"/>
      <c r="P159" s="18"/>
      <c r="Q159" s="18"/>
      <c r="R159" s="18"/>
      <c r="S159" s="18"/>
    </row>
    <row r="160" spans="1:19" x14ac:dyDescent="0.25">
      <c r="A160" s="9" t="s">
        <v>311</v>
      </c>
      <c r="B160" s="17" t="s">
        <v>312</v>
      </c>
      <c r="C160" s="18">
        <f t="shared" si="14"/>
        <v>473172.76</v>
      </c>
      <c r="D160" s="18"/>
      <c r="E160" s="18">
        <v>473172.76</v>
      </c>
      <c r="F160" s="18"/>
      <c r="G160" s="18"/>
      <c r="H160" s="18"/>
      <c r="I160" s="18"/>
      <c r="J160" s="18"/>
      <c r="K160" s="18"/>
      <c r="L160" s="10"/>
      <c r="M160" s="18"/>
      <c r="N160" s="10"/>
      <c r="O160" s="18"/>
      <c r="P160" s="18"/>
      <c r="Q160" s="18"/>
      <c r="R160" s="18"/>
      <c r="S160" s="18"/>
    </row>
    <row r="161" spans="1:19" x14ac:dyDescent="0.25">
      <c r="A161" s="9" t="s">
        <v>313</v>
      </c>
      <c r="B161" s="17" t="s">
        <v>314</v>
      </c>
      <c r="C161" s="18">
        <f t="shared" si="14"/>
        <v>1692823.1</v>
      </c>
      <c r="D161" s="18">
        <v>19254.63</v>
      </c>
      <c r="E161" s="18">
        <v>543601.92000000004</v>
      </c>
      <c r="F161" s="18"/>
      <c r="G161" s="18"/>
      <c r="H161" s="18"/>
      <c r="I161" s="18"/>
      <c r="J161" s="18">
        <v>1129966.55</v>
      </c>
      <c r="K161" s="18"/>
      <c r="L161" s="10"/>
      <c r="M161" s="18"/>
      <c r="N161" s="10"/>
      <c r="O161" s="18"/>
      <c r="P161" s="18"/>
      <c r="Q161" s="18"/>
      <c r="R161" s="18"/>
      <c r="S161" s="18"/>
    </row>
    <row r="162" spans="1:19" x14ac:dyDescent="0.25">
      <c r="A162" s="9" t="s">
        <v>315</v>
      </c>
      <c r="B162" s="17" t="s">
        <v>316</v>
      </c>
      <c r="C162" s="18">
        <f t="shared" si="14"/>
        <v>538662.06000000006</v>
      </c>
      <c r="D162" s="18"/>
      <c r="E162" s="18">
        <v>538662.06000000006</v>
      </c>
      <c r="F162" s="18"/>
      <c r="G162" s="18"/>
      <c r="H162" s="18"/>
      <c r="I162" s="18"/>
      <c r="J162" s="18"/>
      <c r="K162" s="18"/>
      <c r="L162" s="10"/>
      <c r="M162" s="18"/>
      <c r="N162" s="10"/>
      <c r="O162" s="18"/>
      <c r="P162" s="18"/>
      <c r="Q162" s="18"/>
      <c r="R162" s="18"/>
      <c r="S162" s="18"/>
    </row>
    <row r="163" spans="1:19" x14ac:dyDescent="0.25">
      <c r="A163" s="9" t="s">
        <v>317</v>
      </c>
      <c r="B163" s="17" t="s">
        <v>318</v>
      </c>
      <c r="C163" s="18">
        <f t="shared" si="14"/>
        <v>1200602.67</v>
      </c>
      <c r="D163" s="18">
        <v>13444.13</v>
      </c>
      <c r="E163" s="18">
        <v>398183.9</v>
      </c>
      <c r="F163" s="18"/>
      <c r="G163" s="18"/>
      <c r="H163" s="18"/>
      <c r="I163" s="18"/>
      <c r="J163" s="18">
        <v>788974.64</v>
      </c>
      <c r="K163" s="18"/>
      <c r="L163" s="10"/>
      <c r="M163" s="18"/>
      <c r="N163" s="10"/>
      <c r="O163" s="18"/>
      <c r="P163" s="18"/>
      <c r="Q163" s="18"/>
      <c r="R163" s="18"/>
      <c r="S163" s="18"/>
    </row>
    <row r="164" spans="1:19" x14ac:dyDescent="0.25">
      <c r="A164" s="9" t="s">
        <v>319</v>
      </c>
      <c r="B164" s="17" t="s">
        <v>320</v>
      </c>
      <c r="C164" s="18">
        <f t="shared" si="14"/>
        <v>1035421.07</v>
      </c>
      <c r="D164" s="18">
        <v>14365.97</v>
      </c>
      <c r="E164" s="18">
        <v>177981.52</v>
      </c>
      <c r="F164" s="18"/>
      <c r="G164" s="18"/>
      <c r="H164" s="18"/>
      <c r="I164" s="18"/>
      <c r="J164" s="18">
        <v>843073.58</v>
      </c>
      <c r="K164" s="18"/>
      <c r="L164" s="10"/>
      <c r="M164" s="18"/>
      <c r="N164" s="10"/>
      <c r="O164" s="18"/>
      <c r="P164" s="18"/>
      <c r="Q164" s="18"/>
      <c r="R164" s="18"/>
      <c r="S164" s="18"/>
    </row>
    <row r="165" spans="1:19" x14ac:dyDescent="0.25">
      <c r="A165" s="9" t="s">
        <v>321</v>
      </c>
      <c r="B165" s="17" t="s">
        <v>322</v>
      </c>
      <c r="C165" s="18">
        <f t="shared" si="14"/>
        <v>293455.19</v>
      </c>
      <c r="D165" s="18"/>
      <c r="E165" s="18">
        <v>293455.19</v>
      </c>
      <c r="F165" s="18"/>
      <c r="G165" s="18"/>
      <c r="H165" s="18"/>
      <c r="I165" s="18"/>
      <c r="J165" s="18"/>
      <c r="K165" s="18"/>
      <c r="L165" s="10"/>
      <c r="M165" s="18"/>
      <c r="N165" s="10"/>
      <c r="O165" s="18"/>
      <c r="P165" s="18"/>
      <c r="Q165" s="18"/>
      <c r="R165" s="18"/>
      <c r="S165" s="18"/>
    </row>
    <row r="166" spans="1:19" x14ac:dyDescent="0.25">
      <c r="A166" s="9" t="s">
        <v>323</v>
      </c>
      <c r="B166" s="17" t="s">
        <v>324</v>
      </c>
      <c r="C166" s="18">
        <f t="shared" si="14"/>
        <v>117041.57</v>
      </c>
      <c r="D166" s="18"/>
      <c r="E166" s="18">
        <v>117041.57</v>
      </c>
      <c r="F166" s="18"/>
      <c r="G166" s="18"/>
      <c r="H166" s="18"/>
      <c r="I166" s="18"/>
      <c r="J166" s="18"/>
      <c r="K166" s="18"/>
      <c r="L166" s="10"/>
      <c r="M166" s="18"/>
      <c r="N166" s="10"/>
      <c r="O166" s="18"/>
      <c r="P166" s="18"/>
      <c r="Q166" s="18"/>
      <c r="R166" s="18"/>
      <c r="S166" s="18"/>
    </row>
    <row r="167" spans="1:19" x14ac:dyDescent="0.25">
      <c r="A167" s="9" t="s">
        <v>325</v>
      </c>
      <c r="B167" s="17" t="s">
        <v>326</v>
      </c>
      <c r="C167" s="18">
        <f t="shared" si="14"/>
        <v>144557.21</v>
      </c>
      <c r="D167" s="18"/>
      <c r="E167" s="18">
        <v>144557.21</v>
      </c>
      <c r="F167" s="18"/>
      <c r="G167" s="18"/>
      <c r="H167" s="18"/>
      <c r="I167" s="18"/>
      <c r="J167" s="18"/>
      <c r="K167" s="18"/>
      <c r="L167" s="10"/>
      <c r="M167" s="18"/>
      <c r="N167" s="10"/>
      <c r="O167" s="18"/>
      <c r="P167" s="18"/>
      <c r="Q167" s="18"/>
      <c r="R167" s="18"/>
      <c r="S167" s="18"/>
    </row>
    <row r="168" spans="1:19" x14ac:dyDescent="0.25">
      <c r="A168" s="9" t="s">
        <v>327</v>
      </c>
      <c r="B168" s="17" t="s">
        <v>328</v>
      </c>
      <c r="C168" s="18">
        <f t="shared" si="14"/>
        <v>74573.710000000006</v>
      </c>
      <c r="D168" s="18"/>
      <c r="E168" s="18">
        <v>74573.710000000006</v>
      </c>
      <c r="F168" s="18"/>
      <c r="G168" s="18"/>
      <c r="H168" s="18"/>
      <c r="I168" s="18"/>
      <c r="J168" s="18"/>
      <c r="K168" s="18"/>
      <c r="L168" s="10"/>
      <c r="M168" s="18"/>
      <c r="N168" s="10"/>
      <c r="O168" s="18"/>
      <c r="P168" s="18"/>
      <c r="Q168" s="18"/>
      <c r="R168" s="18"/>
      <c r="S168" s="18"/>
    </row>
    <row r="169" spans="1:19" x14ac:dyDescent="0.25">
      <c r="A169" s="9" t="s">
        <v>329</v>
      </c>
      <c r="B169" s="17" t="s">
        <v>330</v>
      </c>
      <c r="C169" s="18">
        <f t="shared" si="14"/>
        <v>210226.69</v>
      </c>
      <c r="D169" s="18"/>
      <c r="E169" s="18">
        <v>210226.69</v>
      </c>
      <c r="F169" s="18"/>
      <c r="G169" s="18"/>
      <c r="H169" s="18"/>
      <c r="I169" s="18"/>
      <c r="J169" s="18"/>
      <c r="K169" s="18"/>
      <c r="L169" s="10"/>
      <c r="M169" s="18"/>
      <c r="N169" s="10"/>
      <c r="O169" s="18"/>
      <c r="P169" s="18"/>
      <c r="Q169" s="18"/>
      <c r="R169" s="18"/>
      <c r="S169" s="18"/>
    </row>
    <row r="170" spans="1:19" x14ac:dyDescent="0.25">
      <c r="A170" s="9" t="s">
        <v>331</v>
      </c>
      <c r="B170" s="17" t="s">
        <v>332</v>
      </c>
      <c r="C170" s="18">
        <f t="shared" si="14"/>
        <v>401497.73</v>
      </c>
      <c r="D170" s="18"/>
      <c r="E170" s="18">
        <v>401497.73</v>
      </c>
      <c r="F170" s="18"/>
      <c r="G170" s="18"/>
      <c r="H170" s="18"/>
      <c r="I170" s="18"/>
      <c r="J170" s="18"/>
      <c r="K170" s="18"/>
      <c r="L170" s="10"/>
      <c r="M170" s="18"/>
      <c r="N170" s="10"/>
      <c r="O170" s="18"/>
      <c r="P170" s="18"/>
      <c r="Q170" s="18"/>
      <c r="R170" s="18"/>
      <c r="S170" s="18"/>
    </row>
    <row r="171" spans="1:19" x14ac:dyDescent="0.25">
      <c r="A171" s="9" t="s">
        <v>333</v>
      </c>
      <c r="B171" s="17" t="s">
        <v>334</v>
      </c>
      <c r="C171" s="18">
        <f t="shared" si="14"/>
        <v>272023.02</v>
      </c>
      <c r="D171" s="18"/>
      <c r="E171" s="18">
        <v>272023.02</v>
      </c>
      <c r="F171" s="18"/>
      <c r="G171" s="18"/>
      <c r="H171" s="18"/>
      <c r="I171" s="18"/>
      <c r="J171" s="18"/>
      <c r="K171" s="18"/>
      <c r="L171" s="10"/>
      <c r="M171" s="18"/>
      <c r="N171" s="10"/>
      <c r="O171" s="18"/>
      <c r="P171" s="18"/>
      <c r="Q171" s="18"/>
      <c r="R171" s="18"/>
      <c r="S171" s="18"/>
    </row>
    <row r="172" spans="1:19" x14ac:dyDescent="0.25">
      <c r="A172" s="9" t="s">
        <v>335</v>
      </c>
      <c r="B172" s="17" t="s">
        <v>336</v>
      </c>
      <c r="C172" s="18">
        <f t="shared" si="14"/>
        <v>271514.53000000003</v>
      </c>
      <c r="D172" s="18"/>
      <c r="E172" s="18">
        <v>271514.53000000003</v>
      </c>
      <c r="F172" s="18"/>
      <c r="G172" s="18"/>
      <c r="H172" s="18"/>
      <c r="I172" s="18"/>
      <c r="J172" s="18"/>
      <c r="K172" s="18"/>
      <c r="L172" s="10"/>
      <c r="M172" s="18"/>
      <c r="N172" s="10"/>
      <c r="O172" s="18"/>
      <c r="P172" s="18"/>
      <c r="Q172" s="18"/>
      <c r="R172" s="18"/>
      <c r="S172" s="18"/>
    </row>
    <row r="173" spans="1:19" x14ac:dyDescent="0.25">
      <c r="A173" s="9" t="s">
        <v>337</v>
      </c>
      <c r="B173" s="17" t="s">
        <v>338</v>
      </c>
      <c r="C173" s="18">
        <f t="shared" si="14"/>
        <v>407034.6</v>
      </c>
      <c r="D173" s="18"/>
      <c r="E173" s="18">
        <v>407034.6</v>
      </c>
      <c r="F173" s="18"/>
      <c r="G173" s="18"/>
      <c r="H173" s="18"/>
      <c r="I173" s="18"/>
      <c r="J173" s="18"/>
      <c r="K173" s="18"/>
      <c r="L173" s="10"/>
      <c r="M173" s="18"/>
      <c r="N173" s="10"/>
      <c r="O173" s="18"/>
      <c r="P173" s="18"/>
      <c r="Q173" s="18"/>
      <c r="R173" s="18"/>
      <c r="S173" s="18"/>
    </row>
    <row r="174" spans="1:19" x14ac:dyDescent="0.25">
      <c r="A174" s="9" t="s">
        <v>339</v>
      </c>
      <c r="B174" s="17" t="s">
        <v>340</v>
      </c>
      <c r="C174" s="18">
        <f t="shared" si="14"/>
        <v>106732.96</v>
      </c>
      <c r="D174" s="18"/>
      <c r="E174" s="18">
        <v>106732.96</v>
      </c>
      <c r="F174" s="18"/>
      <c r="G174" s="18"/>
      <c r="H174" s="18"/>
      <c r="I174" s="18"/>
      <c r="J174" s="18"/>
      <c r="K174" s="18"/>
      <c r="L174" s="10"/>
      <c r="M174" s="18"/>
      <c r="N174" s="10"/>
      <c r="O174" s="18"/>
      <c r="P174" s="18"/>
      <c r="Q174" s="18"/>
      <c r="R174" s="18"/>
      <c r="S174" s="18"/>
    </row>
    <row r="175" spans="1:19" x14ac:dyDescent="0.25">
      <c r="A175" s="9" t="s">
        <v>341</v>
      </c>
      <c r="B175" s="17" t="s">
        <v>342</v>
      </c>
      <c r="C175" s="18">
        <f t="shared" si="14"/>
        <v>106834.38</v>
      </c>
      <c r="D175" s="18"/>
      <c r="E175" s="18">
        <v>106834.38</v>
      </c>
      <c r="F175" s="18"/>
      <c r="G175" s="18"/>
      <c r="H175" s="18"/>
      <c r="I175" s="18"/>
      <c r="J175" s="18"/>
      <c r="K175" s="18"/>
      <c r="L175" s="10"/>
      <c r="M175" s="18"/>
      <c r="N175" s="10"/>
      <c r="O175" s="18"/>
      <c r="P175" s="18"/>
      <c r="Q175" s="18"/>
      <c r="R175" s="18"/>
      <c r="S175" s="18"/>
    </row>
    <row r="176" spans="1:19" x14ac:dyDescent="0.25">
      <c r="A176" s="9" t="s">
        <v>343</v>
      </c>
      <c r="B176" s="17" t="s">
        <v>344</v>
      </c>
      <c r="C176" s="18">
        <f t="shared" si="14"/>
        <v>875634.84</v>
      </c>
      <c r="D176" s="18"/>
      <c r="E176" s="18">
        <v>875634.84</v>
      </c>
      <c r="F176" s="18"/>
      <c r="G176" s="18"/>
      <c r="H176" s="18"/>
      <c r="I176" s="18"/>
      <c r="J176" s="18"/>
      <c r="K176" s="18"/>
      <c r="L176" s="10"/>
      <c r="M176" s="18"/>
      <c r="N176" s="10"/>
      <c r="O176" s="18"/>
      <c r="P176" s="18"/>
      <c r="Q176" s="18"/>
      <c r="R176" s="18"/>
      <c r="S176" s="18"/>
    </row>
    <row r="177" spans="1:19" x14ac:dyDescent="0.25">
      <c r="A177" s="9" t="s">
        <v>345</v>
      </c>
      <c r="B177" s="17" t="s">
        <v>346</v>
      </c>
      <c r="C177" s="18">
        <f t="shared" si="14"/>
        <v>938079.54</v>
      </c>
      <c r="D177" s="18"/>
      <c r="E177" s="18">
        <v>938079.54</v>
      </c>
      <c r="F177" s="18"/>
      <c r="G177" s="18"/>
      <c r="H177" s="18"/>
      <c r="I177" s="18"/>
      <c r="J177" s="18"/>
      <c r="K177" s="18"/>
      <c r="L177" s="10"/>
      <c r="M177" s="18"/>
      <c r="N177" s="10"/>
      <c r="O177" s="18"/>
      <c r="P177" s="18"/>
      <c r="Q177" s="18"/>
      <c r="R177" s="18"/>
      <c r="S177" s="18"/>
    </row>
    <row r="178" spans="1:19" x14ac:dyDescent="0.25">
      <c r="A178" s="9" t="s">
        <v>347</v>
      </c>
      <c r="B178" s="17" t="s">
        <v>348</v>
      </c>
      <c r="C178" s="18">
        <f t="shared" si="14"/>
        <v>466001.8</v>
      </c>
      <c r="D178" s="18"/>
      <c r="E178" s="18">
        <v>466001.8</v>
      </c>
      <c r="F178" s="18"/>
      <c r="G178" s="18"/>
      <c r="H178" s="18"/>
      <c r="I178" s="18"/>
      <c r="J178" s="18"/>
      <c r="K178" s="18"/>
      <c r="L178" s="10"/>
      <c r="M178" s="18"/>
      <c r="N178" s="10"/>
      <c r="O178" s="18"/>
      <c r="P178" s="18"/>
      <c r="Q178" s="18"/>
      <c r="R178" s="18"/>
      <c r="S178" s="18"/>
    </row>
    <row r="179" spans="1:19" x14ac:dyDescent="0.25">
      <c r="A179" s="9" t="s">
        <v>349</v>
      </c>
      <c r="B179" s="17" t="s">
        <v>350</v>
      </c>
      <c r="C179" s="18">
        <f t="shared" si="14"/>
        <v>271604.49</v>
      </c>
      <c r="D179" s="18"/>
      <c r="E179" s="18">
        <v>271604.49</v>
      </c>
      <c r="F179" s="18"/>
      <c r="G179" s="18"/>
      <c r="H179" s="18"/>
      <c r="I179" s="18"/>
      <c r="J179" s="18"/>
      <c r="K179" s="18"/>
      <c r="L179" s="10"/>
      <c r="M179" s="18"/>
      <c r="N179" s="10"/>
      <c r="O179" s="18"/>
      <c r="P179" s="18"/>
      <c r="Q179" s="18"/>
      <c r="R179" s="18"/>
      <c r="S179" s="18"/>
    </row>
    <row r="180" spans="1:19" x14ac:dyDescent="0.25">
      <c r="A180" s="9" t="s">
        <v>351</v>
      </c>
      <c r="B180" s="17" t="s">
        <v>352</v>
      </c>
      <c r="C180" s="18">
        <f t="shared" si="14"/>
        <v>4481324.5599999996</v>
      </c>
      <c r="D180" s="18">
        <v>91061.85</v>
      </c>
      <c r="E180" s="18">
        <v>69357.350000000006</v>
      </c>
      <c r="F180" s="18"/>
      <c r="G180" s="18"/>
      <c r="H180" s="18"/>
      <c r="I180" s="18"/>
      <c r="J180" s="18"/>
      <c r="K180" s="18"/>
      <c r="L180" s="10">
        <v>2</v>
      </c>
      <c r="M180" s="18">
        <v>4320905.3600000003</v>
      </c>
      <c r="N180" s="10"/>
      <c r="O180" s="18"/>
      <c r="P180" s="18"/>
      <c r="Q180" s="18"/>
      <c r="R180" s="18"/>
      <c r="S180" s="18"/>
    </row>
    <row r="181" spans="1:19" x14ac:dyDescent="0.25">
      <c r="A181" s="9" t="s">
        <v>353</v>
      </c>
      <c r="B181" s="17" t="s">
        <v>354</v>
      </c>
      <c r="C181" s="18">
        <f t="shared" ref="C181:C212" si="15">ROUNDUP(SUM(D181+E181+F181+G181+H181+I181+J181+K181+M181+O181+P181+Q181+R181+S181),2)</f>
        <v>35073850.600000001</v>
      </c>
      <c r="D181" s="18">
        <v>194423.14</v>
      </c>
      <c r="E181" s="18"/>
      <c r="F181" s="18"/>
      <c r="G181" s="18"/>
      <c r="H181" s="18"/>
      <c r="I181" s="18"/>
      <c r="J181" s="18"/>
      <c r="K181" s="18"/>
      <c r="L181" s="10"/>
      <c r="M181" s="18"/>
      <c r="N181" s="10" t="s">
        <v>355</v>
      </c>
      <c r="O181" s="18">
        <v>34879427.460000001</v>
      </c>
      <c r="P181" s="18"/>
      <c r="Q181" s="18"/>
      <c r="R181" s="18"/>
      <c r="S181" s="18"/>
    </row>
    <row r="182" spans="1:19" x14ac:dyDescent="0.25">
      <c r="A182" s="9" t="s">
        <v>356</v>
      </c>
      <c r="B182" s="17" t="s">
        <v>357</v>
      </c>
      <c r="C182" s="18">
        <f t="shared" si="15"/>
        <v>2087950.54</v>
      </c>
      <c r="D182" s="18">
        <v>18152.13</v>
      </c>
      <c r="E182" s="18"/>
      <c r="F182" s="18">
        <v>2069798.41</v>
      </c>
      <c r="G182" s="18"/>
      <c r="H182" s="18"/>
      <c r="I182" s="18"/>
      <c r="J182" s="18"/>
      <c r="K182" s="18"/>
      <c r="L182" s="10"/>
      <c r="M182" s="18"/>
      <c r="N182" s="10"/>
      <c r="O182" s="18"/>
      <c r="P182" s="18"/>
      <c r="Q182" s="18"/>
      <c r="R182" s="18"/>
      <c r="S182" s="18"/>
    </row>
    <row r="183" spans="1:19" x14ac:dyDescent="0.25">
      <c r="A183" s="9" t="s">
        <v>358</v>
      </c>
      <c r="B183" s="17" t="s">
        <v>359</v>
      </c>
      <c r="C183" s="18">
        <f t="shared" si="15"/>
        <v>968781.58</v>
      </c>
      <c r="D183" s="18">
        <v>8422.35</v>
      </c>
      <c r="E183" s="18"/>
      <c r="F183" s="18">
        <v>960359.23</v>
      </c>
      <c r="G183" s="18"/>
      <c r="H183" s="18"/>
      <c r="I183" s="18"/>
      <c r="J183" s="18"/>
      <c r="K183" s="18"/>
      <c r="L183" s="10"/>
      <c r="M183" s="18"/>
      <c r="N183" s="10"/>
      <c r="O183" s="18"/>
      <c r="P183" s="18"/>
      <c r="Q183" s="18"/>
      <c r="R183" s="18"/>
      <c r="S183" s="18"/>
    </row>
    <row r="184" spans="1:19" x14ac:dyDescent="0.25">
      <c r="A184" s="9" t="s">
        <v>360</v>
      </c>
      <c r="B184" s="17" t="s">
        <v>361</v>
      </c>
      <c r="C184" s="18">
        <f t="shared" si="15"/>
        <v>405714.44</v>
      </c>
      <c r="D184" s="18"/>
      <c r="E184" s="18">
        <v>405714.44</v>
      </c>
      <c r="F184" s="18"/>
      <c r="G184" s="18"/>
      <c r="H184" s="18"/>
      <c r="I184" s="18"/>
      <c r="J184" s="18"/>
      <c r="K184" s="18"/>
      <c r="L184" s="10"/>
      <c r="M184" s="18"/>
      <c r="N184" s="10"/>
      <c r="O184" s="18"/>
      <c r="P184" s="18"/>
      <c r="Q184" s="18"/>
      <c r="R184" s="18"/>
      <c r="S184" s="18"/>
    </row>
    <row r="185" spans="1:19" x14ac:dyDescent="0.25">
      <c r="A185" s="9" t="s">
        <v>362</v>
      </c>
      <c r="B185" s="17" t="s">
        <v>363</v>
      </c>
      <c r="C185" s="18">
        <f t="shared" si="15"/>
        <v>5010613.7699999996</v>
      </c>
      <c r="D185" s="18">
        <v>104452.18</v>
      </c>
      <c r="E185" s="18"/>
      <c r="F185" s="18"/>
      <c r="G185" s="18">
        <v>3403271.99</v>
      </c>
      <c r="H185" s="18">
        <v>709628.04</v>
      </c>
      <c r="I185" s="18">
        <v>393524.74</v>
      </c>
      <c r="J185" s="18">
        <v>399736.82</v>
      </c>
      <c r="K185" s="18"/>
      <c r="L185" s="10"/>
      <c r="M185" s="18"/>
      <c r="N185" s="10"/>
      <c r="O185" s="18"/>
      <c r="P185" s="18"/>
      <c r="Q185" s="18"/>
      <c r="R185" s="18"/>
      <c r="S185" s="18"/>
    </row>
    <row r="186" spans="1:19" x14ac:dyDescent="0.25">
      <c r="A186" s="9" t="s">
        <v>364</v>
      </c>
      <c r="B186" s="17" t="s">
        <v>365</v>
      </c>
      <c r="C186" s="18">
        <f t="shared" si="15"/>
        <v>13310175.01</v>
      </c>
      <c r="D186" s="18">
        <v>260694.2</v>
      </c>
      <c r="E186" s="18"/>
      <c r="F186" s="18">
        <v>1077926.6399999999</v>
      </c>
      <c r="G186" s="18">
        <v>2791659.86</v>
      </c>
      <c r="H186" s="18">
        <v>486667.54</v>
      </c>
      <c r="I186" s="18">
        <v>349103</v>
      </c>
      <c r="J186" s="18">
        <v>368054.84</v>
      </c>
      <c r="K186" s="18"/>
      <c r="L186" s="10"/>
      <c r="M186" s="18"/>
      <c r="N186" s="10" t="s">
        <v>355</v>
      </c>
      <c r="O186" s="18">
        <v>7976068.9299999997</v>
      </c>
      <c r="P186" s="18"/>
      <c r="Q186" s="18"/>
      <c r="R186" s="18"/>
      <c r="S186" s="18"/>
    </row>
    <row r="187" spans="1:19" ht="14.45" customHeight="1" x14ac:dyDescent="0.25">
      <c r="A187" s="9" t="s">
        <v>366</v>
      </c>
      <c r="B187" s="17" t="s">
        <v>367</v>
      </c>
      <c r="C187" s="18">
        <f t="shared" si="15"/>
        <v>290165.95</v>
      </c>
      <c r="D187" s="18"/>
      <c r="E187" s="18">
        <v>290165.95</v>
      </c>
      <c r="F187" s="18"/>
      <c r="G187" s="18"/>
      <c r="H187" s="18"/>
      <c r="I187" s="18"/>
      <c r="J187" s="18"/>
      <c r="K187" s="18"/>
      <c r="L187" s="10"/>
      <c r="M187" s="18"/>
      <c r="N187" s="10"/>
      <c r="O187" s="18"/>
      <c r="P187" s="18"/>
      <c r="Q187" s="18"/>
      <c r="R187" s="18"/>
      <c r="S187" s="18"/>
    </row>
    <row r="188" spans="1:19" x14ac:dyDescent="0.25">
      <c r="A188" s="9" t="s">
        <v>368</v>
      </c>
      <c r="B188" s="17" t="s">
        <v>369</v>
      </c>
      <c r="C188" s="18">
        <f t="shared" si="15"/>
        <v>205201.46</v>
      </c>
      <c r="D188" s="18"/>
      <c r="E188" s="18">
        <v>205201.46</v>
      </c>
      <c r="F188" s="18"/>
      <c r="G188" s="18"/>
      <c r="H188" s="18"/>
      <c r="I188" s="18"/>
      <c r="J188" s="18"/>
      <c r="K188" s="18"/>
      <c r="L188" s="10"/>
      <c r="M188" s="18"/>
      <c r="N188" s="10"/>
      <c r="O188" s="18"/>
      <c r="P188" s="18"/>
      <c r="Q188" s="18"/>
      <c r="R188" s="18"/>
      <c r="S188" s="18"/>
    </row>
    <row r="189" spans="1:19" x14ac:dyDescent="0.25">
      <c r="A189" s="9" t="s">
        <v>370</v>
      </c>
      <c r="B189" s="17" t="s">
        <v>371</v>
      </c>
      <c r="C189" s="18">
        <f t="shared" si="15"/>
        <v>316121.78000000003</v>
      </c>
      <c r="D189" s="18"/>
      <c r="E189" s="18">
        <v>316121.78000000003</v>
      </c>
      <c r="F189" s="18"/>
      <c r="G189" s="18"/>
      <c r="H189" s="18"/>
      <c r="I189" s="18"/>
      <c r="J189" s="18"/>
      <c r="K189" s="18"/>
      <c r="L189" s="10"/>
      <c r="M189" s="18"/>
      <c r="N189" s="10"/>
      <c r="O189" s="18"/>
      <c r="P189" s="18"/>
      <c r="Q189" s="18"/>
      <c r="R189" s="18"/>
      <c r="S189" s="18"/>
    </row>
    <row r="190" spans="1:19" x14ac:dyDescent="0.25">
      <c r="A190" s="9" t="s">
        <v>372</v>
      </c>
      <c r="B190" s="17" t="s">
        <v>373</v>
      </c>
      <c r="C190" s="18">
        <f t="shared" si="15"/>
        <v>474671.45</v>
      </c>
      <c r="D190" s="18"/>
      <c r="E190" s="18">
        <v>474671.45</v>
      </c>
      <c r="F190" s="18"/>
      <c r="G190" s="18"/>
      <c r="H190" s="18"/>
      <c r="I190" s="18"/>
      <c r="J190" s="18"/>
      <c r="K190" s="18"/>
      <c r="L190" s="10"/>
      <c r="M190" s="18"/>
      <c r="N190" s="10"/>
      <c r="O190" s="18"/>
      <c r="P190" s="18"/>
      <c r="Q190" s="18"/>
      <c r="R190" s="18"/>
      <c r="S190" s="18"/>
    </row>
    <row r="191" spans="1:19" x14ac:dyDescent="0.25">
      <c r="A191" s="9" t="s">
        <v>374</v>
      </c>
      <c r="B191" s="17" t="s">
        <v>375</v>
      </c>
      <c r="C191" s="18">
        <f t="shared" si="15"/>
        <v>152845.82</v>
      </c>
      <c r="D191" s="18"/>
      <c r="E191" s="18">
        <v>152845.82</v>
      </c>
      <c r="F191" s="18"/>
      <c r="G191" s="18"/>
      <c r="H191" s="18"/>
      <c r="I191" s="18"/>
      <c r="J191" s="18"/>
      <c r="K191" s="18"/>
      <c r="L191" s="10"/>
      <c r="M191" s="18"/>
      <c r="N191" s="10"/>
      <c r="O191" s="18"/>
      <c r="P191" s="18"/>
      <c r="Q191" s="18"/>
      <c r="R191" s="18"/>
      <c r="S191" s="18"/>
    </row>
    <row r="192" spans="1:19" x14ac:dyDescent="0.25">
      <c r="A192" s="9" t="s">
        <v>376</v>
      </c>
      <c r="B192" s="17" t="s">
        <v>377</v>
      </c>
      <c r="C192" s="18">
        <f t="shared" si="15"/>
        <v>63540.82</v>
      </c>
      <c r="D192" s="18"/>
      <c r="E192" s="18">
        <v>63540.82</v>
      </c>
      <c r="F192" s="18"/>
      <c r="G192" s="18"/>
      <c r="H192" s="18"/>
      <c r="I192" s="18"/>
      <c r="J192" s="18"/>
      <c r="K192" s="18"/>
      <c r="L192" s="10"/>
      <c r="M192" s="18"/>
      <c r="N192" s="10"/>
      <c r="O192" s="18"/>
      <c r="P192" s="18"/>
      <c r="Q192" s="18"/>
      <c r="R192" s="18"/>
      <c r="S192" s="18"/>
    </row>
    <row r="193" spans="1:19" x14ac:dyDescent="0.25">
      <c r="A193" s="9" t="s">
        <v>378</v>
      </c>
      <c r="B193" s="17" t="s">
        <v>379</v>
      </c>
      <c r="C193" s="18">
        <f t="shared" si="15"/>
        <v>390717.64</v>
      </c>
      <c r="D193" s="18"/>
      <c r="E193" s="18">
        <v>390717.64</v>
      </c>
      <c r="F193" s="18"/>
      <c r="G193" s="18"/>
      <c r="H193" s="18"/>
      <c r="I193" s="18"/>
      <c r="J193" s="18"/>
      <c r="K193" s="18"/>
      <c r="L193" s="10"/>
      <c r="M193" s="18"/>
      <c r="N193" s="10"/>
      <c r="O193" s="18"/>
      <c r="P193" s="18"/>
      <c r="Q193" s="18"/>
      <c r="R193" s="18"/>
      <c r="S193" s="18"/>
    </row>
    <row r="194" spans="1:19" x14ac:dyDescent="0.25">
      <c r="A194" s="9" t="s">
        <v>380</v>
      </c>
      <c r="B194" s="17" t="s">
        <v>381</v>
      </c>
      <c r="C194" s="18">
        <f t="shared" si="15"/>
        <v>58773.7</v>
      </c>
      <c r="D194" s="18"/>
      <c r="E194" s="18">
        <v>58773.7</v>
      </c>
      <c r="F194" s="18"/>
      <c r="G194" s="18"/>
      <c r="H194" s="18"/>
      <c r="I194" s="18"/>
      <c r="J194" s="18"/>
      <c r="K194" s="18"/>
      <c r="L194" s="10"/>
      <c r="M194" s="18"/>
      <c r="N194" s="10"/>
      <c r="O194" s="18"/>
      <c r="P194" s="18"/>
      <c r="Q194" s="18"/>
      <c r="R194" s="18"/>
      <c r="S194" s="18"/>
    </row>
    <row r="195" spans="1:19" x14ac:dyDescent="0.25">
      <c r="A195" s="9" t="s">
        <v>382</v>
      </c>
      <c r="B195" s="17" t="s">
        <v>383</v>
      </c>
      <c r="C195" s="18">
        <f t="shared" si="15"/>
        <v>198647.8</v>
      </c>
      <c r="D195" s="18"/>
      <c r="E195" s="18">
        <v>198647.8</v>
      </c>
      <c r="F195" s="18"/>
      <c r="G195" s="18"/>
      <c r="H195" s="18"/>
      <c r="I195" s="18"/>
      <c r="J195" s="18"/>
      <c r="K195" s="18"/>
      <c r="L195" s="10"/>
      <c r="M195" s="18"/>
      <c r="N195" s="10"/>
      <c r="O195" s="18"/>
      <c r="P195" s="18"/>
      <c r="Q195" s="18"/>
      <c r="R195" s="18"/>
      <c r="S195" s="18"/>
    </row>
    <row r="196" spans="1:19" x14ac:dyDescent="0.25">
      <c r="A196" s="9" t="s">
        <v>384</v>
      </c>
      <c r="B196" s="17" t="s">
        <v>385</v>
      </c>
      <c r="C196" s="18">
        <f t="shared" si="15"/>
        <v>105690.91</v>
      </c>
      <c r="D196" s="18"/>
      <c r="E196" s="18">
        <v>105690.91</v>
      </c>
      <c r="F196" s="18"/>
      <c r="G196" s="18"/>
      <c r="H196" s="18"/>
      <c r="I196" s="18"/>
      <c r="J196" s="18"/>
      <c r="K196" s="18"/>
      <c r="L196" s="10"/>
      <c r="M196" s="18"/>
      <c r="N196" s="10"/>
      <c r="O196" s="18"/>
      <c r="P196" s="18"/>
      <c r="Q196" s="18"/>
      <c r="R196" s="18"/>
      <c r="S196" s="18"/>
    </row>
    <row r="197" spans="1:19" x14ac:dyDescent="0.25">
      <c r="A197" s="9" t="s">
        <v>386</v>
      </c>
      <c r="B197" s="17" t="s">
        <v>387</v>
      </c>
      <c r="C197" s="18">
        <f t="shared" si="15"/>
        <v>367916.63</v>
      </c>
      <c r="D197" s="18"/>
      <c r="E197" s="18">
        <v>367916.63</v>
      </c>
      <c r="F197" s="18"/>
      <c r="G197" s="18"/>
      <c r="H197" s="18"/>
      <c r="I197" s="18"/>
      <c r="J197" s="18"/>
      <c r="K197" s="18"/>
      <c r="L197" s="10"/>
      <c r="M197" s="18"/>
      <c r="N197" s="10"/>
      <c r="O197" s="18"/>
      <c r="P197" s="18"/>
      <c r="Q197" s="18"/>
      <c r="R197" s="18"/>
      <c r="S197" s="18"/>
    </row>
    <row r="198" spans="1:19" x14ac:dyDescent="0.25">
      <c r="A198" s="9" t="s">
        <v>388</v>
      </c>
      <c r="B198" s="17" t="s">
        <v>389</v>
      </c>
      <c r="C198" s="18">
        <f t="shared" si="15"/>
        <v>396481.82</v>
      </c>
      <c r="D198" s="18"/>
      <c r="E198" s="18">
        <v>396481.82</v>
      </c>
      <c r="F198" s="18"/>
      <c r="G198" s="18"/>
      <c r="H198" s="18"/>
      <c r="I198" s="18"/>
      <c r="J198" s="18"/>
      <c r="K198" s="18"/>
      <c r="L198" s="10"/>
      <c r="M198" s="18"/>
      <c r="N198" s="10"/>
      <c r="O198" s="18"/>
      <c r="P198" s="18"/>
      <c r="Q198" s="18"/>
      <c r="R198" s="18"/>
      <c r="S198" s="18"/>
    </row>
    <row r="199" spans="1:19" x14ac:dyDescent="0.25">
      <c r="A199" s="9" t="s">
        <v>390</v>
      </c>
      <c r="B199" s="17" t="s">
        <v>391</v>
      </c>
      <c r="C199" s="18">
        <f t="shared" si="15"/>
        <v>338434.75</v>
      </c>
      <c r="D199" s="18"/>
      <c r="E199" s="18">
        <v>338434.75</v>
      </c>
      <c r="F199" s="18"/>
      <c r="G199" s="18"/>
      <c r="H199" s="18"/>
      <c r="I199" s="18"/>
      <c r="J199" s="18"/>
      <c r="K199" s="18"/>
      <c r="L199" s="10"/>
      <c r="M199" s="18"/>
      <c r="N199" s="10"/>
      <c r="O199" s="18"/>
      <c r="P199" s="18"/>
      <c r="Q199" s="18"/>
      <c r="R199" s="18"/>
      <c r="S199" s="18"/>
    </row>
    <row r="200" spans="1:19" x14ac:dyDescent="0.25">
      <c r="A200" s="9" t="s">
        <v>392</v>
      </c>
      <c r="B200" s="17" t="s">
        <v>393</v>
      </c>
      <c r="C200" s="18">
        <f t="shared" si="15"/>
        <v>410399.11</v>
      </c>
      <c r="D200" s="18"/>
      <c r="E200" s="18">
        <v>410399.11</v>
      </c>
      <c r="F200" s="18"/>
      <c r="G200" s="18"/>
      <c r="H200" s="18"/>
      <c r="I200" s="18"/>
      <c r="J200" s="18"/>
      <c r="K200" s="18"/>
      <c r="L200" s="10"/>
      <c r="M200" s="18"/>
      <c r="N200" s="10"/>
      <c r="O200" s="18"/>
      <c r="P200" s="18"/>
      <c r="Q200" s="18"/>
      <c r="R200" s="18"/>
      <c r="S200" s="18"/>
    </row>
    <row r="201" spans="1:19" x14ac:dyDescent="0.25">
      <c r="A201" s="9" t="s">
        <v>394</v>
      </c>
      <c r="B201" s="17" t="s">
        <v>395</v>
      </c>
      <c r="C201" s="18">
        <f t="shared" si="15"/>
        <v>309494.48</v>
      </c>
      <c r="D201" s="18"/>
      <c r="E201" s="18">
        <v>309494.48</v>
      </c>
      <c r="F201" s="18"/>
      <c r="G201" s="18"/>
      <c r="H201" s="18"/>
      <c r="I201" s="18"/>
      <c r="J201" s="18"/>
      <c r="K201" s="18"/>
      <c r="L201" s="10"/>
      <c r="M201" s="18"/>
      <c r="N201" s="10"/>
      <c r="O201" s="18"/>
      <c r="P201" s="18"/>
      <c r="Q201" s="18"/>
      <c r="R201" s="18"/>
      <c r="S201" s="18"/>
    </row>
    <row r="202" spans="1:19" x14ac:dyDescent="0.25">
      <c r="A202" s="9" t="s">
        <v>396</v>
      </c>
      <c r="B202" s="17" t="s">
        <v>397</v>
      </c>
      <c r="C202" s="18">
        <f t="shared" si="15"/>
        <v>423174.46</v>
      </c>
      <c r="D202" s="18"/>
      <c r="E202" s="18">
        <v>423174.46</v>
      </c>
      <c r="F202" s="18"/>
      <c r="G202" s="18"/>
      <c r="H202" s="18"/>
      <c r="I202" s="18"/>
      <c r="J202" s="18"/>
      <c r="K202" s="18"/>
      <c r="L202" s="10"/>
      <c r="M202" s="18"/>
      <c r="N202" s="10"/>
      <c r="O202" s="18"/>
      <c r="P202" s="18"/>
      <c r="Q202" s="18"/>
      <c r="R202" s="18"/>
      <c r="S202" s="18"/>
    </row>
    <row r="203" spans="1:19" x14ac:dyDescent="0.25">
      <c r="A203" s="9" t="s">
        <v>398</v>
      </c>
      <c r="B203" s="17" t="s">
        <v>399</v>
      </c>
      <c r="C203" s="18">
        <f t="shared" si="15"/>
        <v>202376.18</v>
      </c>
      <c r="D203" s="18"/>
      <c r="E203" s="18">
        <v>202376.18</v>
      </c>
      <c r="F203" s="18"/>
      <c r="G203" s="18"/>
      <c r="H203" s="18"/>
      <c r="I203" s="18"/>
      <c r="J203" s="18"/>
      <c r="K203" s="18"/>
      <c r="L203" s="10"/>
      <c r="M203" s="18"/>
      <c r="N203" s="10"/>
      <c r="O203" s="18"/>
      <c r="P203" s="18"/>
      <c r="Q203" s="18"/>
      <c r="R203" s="18"/>
      <c r="S203" s="18"/>
    </row>
    <row r="204" spans="1:19" x14ac:dyDescent="0.25">
      <c r="A204" s="9" t="s">
        <v>400</v>
      </c>
      <c r="B204" s="17" t="s">
        <v>401</v>
      </c>
      <c r="C204" s="18">
        <f t="shared" si="15"/>
        <v>617880.37</v>
      </c>
      <c r="D204" s="18"/>
      <c r="E204" s="18">
        <v>617880.37</v>
      </c>
      <c r="F204" s="18"/>
      <c r="G204" s="18"/>
      <c r="H204" s="18"/>
      <c r="I204" s="18"/>
      <c r="J204" s="18"/>
      <c r="K204" s="18"/>
      <c r="L204" s="10"/>
      <c r="M204" s="18"/>
      <c r="N204" s="10"/>
      <c r="O204" s="18"/>
      <c r="P204" s="18"/>
      <c r="Q204" s="18"/>
      <c r="R204" s="18"/>
      <c r="S204" s="18"/>
    </row>
    <row r="205" spans="1:19" x14ac:dyDescent="0.25">
      <c r="A205" s="9" t="s">
        <v>402</v>
      </c>
      <c r="B205" s="17" t="s">
        <v>403</v>
      </c>
      <c r="C205" s="18">
        <f t="shared" si="15"/>
        <v>266212.18</v>
      </c>
      <c r="D205" s="18"/>
      <c r="E205" s="18">
        <v>266212.18</v>
      </c>
      <c r="F205" s="18"/>
      <c r="G205" s="18"/>
      <c r="H205" s="18"/>
      <c r="I205" s="18"/>
      <c r="J205" s="18"/>
      <c r="K205" s="18"/>
      <c r="L205" s="10"/>
      <c r="M205" s="18"/>
      <c r="N205" s="10"/>
      <c r="O205" s="18"/>
      <c r="P205" s="18"/>
      <c r="Q205" s="18"/>
      <c r="R205" s="18"/>
      <c r="S205" s="18"/>
    </row>
    <row r="206" spans="1:19" x14ac:dyDescent="0.25">
      <c r="A206" s="9" t="s">
        <v>404</v>
      </c>
      <c r="B206" s="17" t="s">
        <v>405</v>
      </c>
      <c r="C206" s="18">
        <f t="shared" si="15"/>
        <v>325900.39</v>
      </c>
      <c r="D206" s="18"/>
      <c r="E206" s="18">
        <v>325900.39</v>
      </c>
      <c r="F206" s="18"/>
      <c r="G206" s="18"/>
      <c r="H206" s="18"/>
      <c r="I206" s="18"/>
      <c r="J206" s="18"/>
      <c r="K206" s="18"/>
      <c r="L206" s="10"/>
      <c r="M206" s="18"/>
      <c r="N206" s="10"/>
      <c r="O206" s="18"/>
      <c r="P206" s="18"/>
      <c r="Q206" s="18"/>
      <c r="R206" s="18"/>
      <c r="S206" s="18"/>
    </row>
    <row r="207" spans="1:19" x14ac:dyDescent="0.25">
      <c r="A207" s="9" t="s">
        <v>406</v>
      </c>
      <c r="B207" s="17" t="s">
        <v>407</v>
      </c>
      <c r="C207" s="18">
        <f t="shared" si="15"/>
        <v>409830</v>
      </c>
      <c r="D207" s="18"/>
      <c r="E207" s="18">
        <v>409830</v>
      </c>
      <c r="F207" s="18"/>
      <c r="G207" s="18"/>
      <c r="H207" s="18"/>
      <c r="I207" s="18"/>
      <c r="J207" s="18"/>
      <c r="K207" s="18"/>
      <c r="L207" s="10"/>
      <c r="M207" s="18"/>
      <c r="N207" s="10"/>
      <c r="O207" s="18"/>
      <c r="P207" s="18"/>
      <c r="Q207" s="18"/>
      <c r="R207" s="18"/>
      <c r="S207" s="18"/>
    </row>
    <row r="208" spans="1:19" x14ac:dyDescent="0.25">
      <c r="A208" s="9" t="s">
        <v>408</v>
      </c>
      <c r="B208" s="17" t="s">
        <v>409</v>
      </c>
      <c r="C208" s="18">
        <f t="shared" si="15"/>
        <v>146830.76</v>
      </c>
      <c r="D208" s="18"/>
      <c r="E208" s="18">
        <v>146830.76</v>
      </c>
      <c r="F208" s="18"/>
      <c r="G208" s="18"/>
      <c r="H208" s="18"/>
      <c r="I208" s="18"/>
      <c r="J208" s="18"/>
      <c r="K208" s="18"/>
      <c r="L208" s="10"/>
      <c r="M208" s="18"/>
      <c r="N208" s="10"/>
      <c r="O208" s="18"/>
      <c r="P208" s="18"/>
      <c r="Q208" s="18"/>
      <c r="R208" s="18"/>
      <c r="S208" s="18"/>
    </row>
    <row r="209" spans="1:19" x14ac:dyDescent="0.25">
      <c r="A209" s="9" t="s">
        <v>410</v>
      </c>
      <c r="B209" s="17" t="s">
        <v>411</v>
      </c>
      <c r="C209" s="18">
        <f t="shared" si="15"/>
        <v>301269.24</v>
      </c>
      <c r="D209" s="18"/>
      <c r="E209" s="18">
        <v>301269.24</v>
      </c>
      <c r="F209" s="18"/>
      <c r="G209" s="18"/>
      <c r="H209" s="18"/>
      <c r="I209" s="18"/>
      <c r="J209" s="18"/>
      <c r="K209" s="18"/>
      <c r="L209" s="10"/>
      <c r="M209" s="18"/>
      <c r="N209" s="10"/>
      <c r="O209" s="18"/>
      <c r="P209" s="18"/>
      <c r="Q209" s="18"/>
      <c r="R209" s="18"/>
      <c r="S209" s="18"/>
    </row>
    <row r="210" spans="1:19" x14ac:dyDescent="0.25">
      <c r="A210" s="9" t="s">
        <v>412</v>
      </c>
      <c r="B210" s="17" t="s">
        <v>413</v>
      </c>
      <c r="C210" s="18">
        <f t="shared" si="15"/>
        <v>274819.68</v>
      </c>
      <c r="D210" s="18"/>
      <c r="E210" s="18">
        <v>274819.68</v>
      </c>
      <c r="F210" s="18"/>
      <c r="G210" s="18"/>
      <c r="H210" s="18"/>
      <c r="I210" s="18"/>
      <c r="J210" s="18"/>
      <c r="K210" s="18"/>
      <c r="L210" s="10"/>
      <c r="M210" s="18"/>
      <c r="N210" s="10"/>
      <c r="O210" s="18"/>
      <c r="P210" s="18"/>
      <c r="Q210" s="18"/>
      <c r="R210" s="18"/>
      <c r="S210" s="18"/>
    </row>
    <row r="211" spans="1:19" x14ac:dyDescent="0.25">
      <c r="A211" s="9" t="s">
        <v>414</v>
      </c>
      <c r="B211" s="17" t="s">
        <v>415</v>
      </c>
      <c r="C211" s="18">
        <f t="shared" si="15"/>
        <v>355754.07</v>
      </c>
      <c r="D211" s="18"/>
      <c r="E211" s="18">
        <v>355754.07</v>
      </c>
      <c r="F211" s="18"/>
      <c r="G211" s="18"/>
      <c r="H211" s="18"/>
      <c r="I211" s="18"/>
      <c r="J211" s="18"/>
      <c r="K211" s="18"/>
      <c r="L211" s="10"/>
      <c r="M211" s="18"/>
      <c r="N211" s="10"/>
      <c r="O211" s="18"/>
      <c r="P211" s="18"/>
      <c r="Q211" s="18"/>
      <c r="R211" s="18"/>
      <c r="S211" s="18"/>
    </row>
    <row r="212" spans="1:19" x14ac:dyDescent="0.25">
      <c r="A212" s="9" t="s">
        <v>416</v>
      </c>
      <c r="B212" s="17" t="s">
        <v>417</v>
      </c>
      <c r="C212" s="18">
        <f t="shared" si="15"/>
        <v>106919.19</v>
      </c>
      <c r="D212" s="18"/>
      <c r="E212" s="18">
        <v>106919.19</v>
      </c>
      <c r="F212" s="18"/>
      <c r="G212" s="18"/>
      <c r="H212" s="18"/>
      <c r="I212" s="18"/>
      <c r="J212" s="18"/>
      <c r="K212" s="18"/>
      <c r="L212" s="10"/>
      <c r="M212" s="18"/>
      <c r="N212" s="10"/>
      <c r="O212" s="18"/>
      <c r="P212" s="18"/>
      <c r="Q212" s="18"/>
      <c r="R212" s="18"/>
      <c r="S212" s="18"/>
    </row>
    <row r="213" spans="1:19" x14ac:dyDescent="0.25">
      <c r="A213" s="9" t="s">
        <v>418</v>
      </c>
      <c r="B213" s="17" t="s">
        <v>419</v>
      </c>
      <c r="C213" s="18">
        <f t="shared" ref="C213:C243" si="16">ROUNDUP(SUM(D213+E213+F213+G213+H213+I213+J213+K213+M213+O213+P213+Q213+R213+S213),2)</f>
        <v>106724.64</v>
      </c>
      <c r="D213" s="18"/>
      <c r="E213" s="18">
        <v>106724.64</v>
      </c>
      <c r="F213" s="18"/>
      <c r="G213" s="18"/>
      <c r="H213" s="18"/>
      <c r="I213" s="18"/>
      <c r="J213" s="18"/>
      <c r="K213" s="18"/>
      <c r="L213" s="10"/>
      <c r="M213" s="18"/>
      <c r="N213" s="10"/>
      <c r="O213" s="18"/>
      <c r="P213" s="18"/>
      <c r="Q213" s="18"/>
      <c r="R213" s="18"/>
      <c r="S213" s="18"/>
    </row>
    <row r="214" spans="1:19" x14ac:dyDescent="0.25">
      <c r="A214" s="9" t="s">
        <v>420</v>
      </c>
      <c r="B214" s="17" t="s">
        <v>421</v>
      </c>
      <c r="C214" s="18">
        <f t="shared" si="16"/>
        <v>355638.79</v>
      </c>
      <c r="D214" s="18"/>
      <c r="E214" s="18">
        <v>355638.79</v>
      </c>
      <c r="F214" s="18"/>
      <c r="G214" s="18"/>
      <c r="H214" s="18"/>
      <c r="I214" s="18"/>
      <c r="J214" s="18"/>
      <c r="K214" s="18"/>
      <c r="L214" s="10"/>
      <c r="M214" s="18"/>
      <c r="N214" s="10"/>
      <c r="O214" s="18"/>
      <c r="P214" s="18"/>
      <c r="Q214" s="18"/>
      <c r="R214" s="18"/>
      <c r="S214" s="18"/>
    </row>
    <row r="215" spans="1:19" x14ac:dyDescent="0.25">
      <c r="A215" s="9" t="s">
        <v>422</v>
      </c>
      <c r="B215" s="17" t="s">
        <v>423</v>
      </c>
      <c r="C215" s="18">
        <f t="shared" si="16"/>
        <v>417590.35</v>
      </c>
      <c r="D215" s="18"/>
      <c r="E215" s="18">
        <v>417590.35</v>
      </c>
      <c r="F215" s="18"/>
      <c r="G215" s="18"/>
      <c r="H215" s="18"/>
      <c r="I215" s="18"/>
      <c r="J215" s="18"/>
      <c r="K215" s="18"/>
      <c r="L215" s="10"/>
      <c r="M215" s="18"/>
      <c r="N215" s="10"/>
      <c r="O215" s="18"/>
      <c r="P215" s="18"/>
      <c r="Q215" s="18"/>
      <c r="R215" s="18"/>
      <c r="S215" s="18"/>
    </row>
    <row r="216" spans="1:19" x14ac:dyDescent="0.25">
      <c r="A216" s="9" t="s">
        <v>424</v>
      </c>
      <c r="B216" s="17" t="s">
        <v>425</v>
      </c>
      <c r="C216" s="18">
        <f t="shared" si="16"/>
        <v>181298.23</v>
      </c>
      <c r="D216" s="18"/>
      <c r="E216" s="18">
        <v>181298.23</v>
      </c>
      <c r="F216" s="18"/>
      <c r="G216" s="18"/>
      <c r="H216" s="18"/>
      <c r="I216" s="18"/>
      <c r="J216" s="18"/>
      <c r="K216" s="18"/>
      <c r="L216" s="10"/>
      <c r="M216" s="18"/>
      <c r="N216" s="10"/>
      <c r="O216" s="18"/>
      <c r="P216" s="18"/>
      <c r="Q216" s="18"/>
      <c r="R216" s="18"/>
      <c r="S216" s="18"/>
    </row>
    <row r="217" spans="1:19" x14ac:dyDescent="0.25">
      <c r="A217" s="9" t="s">
        <v>426</v>
      </c>
      <c r="B217" s="17" t="s">
        <v>427</v>
      </c>
      <c r="C217" s="18">
        <f t="shared" si="16"/>
        <v>106847.69</v>
      </c>
      <c r="D217" s="18"/>
      <c r="E217" s="18">
        <v>106847.69</v>
      </c>
      <c r="F217" s="18"/>
      <c r="G217" s="18"/>
      <c r="H217" s="18"/>
      <c r="I217" s="18"/>
      <c r="J217" s="18"/>
      <c r="K217" s="18"/>
      <c r="L217" s="10"/>
      <c r="M217" s="18"/>
      <c r="N217" s="10"/>
      <c r="O217" s="18"/>
      <c r="P217" s="18"/>
      <c r="Q217" s="18"/>
      <c r="R217" s="18"/>
      <c r="S217" s="18"/>
    </row>
    <row r="218" spans="1:19" x14ac:dyDescent="0.25">
      <c r="A218" s="9" t="s">
        <v>428</v>
      </c>
      <c r="B218" s="17" t="s">
        <v>429</v>
      </c>
      <c r="C218" s="18">
        <f t="shared" si="16"/>
        <v>221569.45</v>
      </c>
      <c r="D218" s="18"/>
      <c r="E218" s="18">
        <v>221569.45</v>
      </c>
      <c r="F218" s="18"/>
      <c r="G218" s="18"/>
      <c r="H218" s="18"/>
      <c r="I218" s="18"/>
      <c r="J218" s="18"/>
      <c r="K218" s="18"/>
      <c r="L218" s="10"/>
      <c r="M218" s="18"/>
      <c r="N218" s="10"/>
      <c r="O218" s="18"/>
      <c r="P218" s="18"/>
      <c r="Q218" s="18"/>
      <c r="R218" s="18"/>
      <c r="S218" s="18"/>
    </row>
    <row r="219" spans="1:19" x14ac:dyDescent="0.25">
      <c r="A219" s="9" t="s">
        <v>430</v>
      </c>
      <c r="B219" s="17" t="s">
        <v>431</v>
      </c>
      <c r="C219" s="18">
        <f t="shared" si="16"/>
        <v>380527.81</v>
      </c>
      <c r="D219" s="18"/>
      <c r="E219" s="18">
        <v>380527.81</v>
      </c>
      <c r="F219" s="18"/>
      <c r="G219" s="18"/>
      <c r="H219" s="18"/>
      <c r="I219" s="18"/>
      <c r="J219" s="18"/>
      <c r="K219" s="18"/>
      <c r="L219" s="10"/>
      <c r="M219" s="18"/>
      <c r="N219" s="10"/>
      <c r="O219" s="18"/>
      <c r="P219" s="18"/>
      <c r="Q219" s="18"/>
      <c r="R219" s="18"/>
      <c r="S219" s="18"/>
    </row>
    <row r="220" spans="1:19" x14ac:dyDescent="0.25">
      <c r="A220" s="9" t="s">
        <v>432</v>
      </c>
      <c r="B220" s="17" t="s">
        <v>433</v>
      </c>
      <c r="C220" s="18">
        <f t="shared" si="16"/>
        <v>408131.27</v>
      </c>
      <c r="D220" s="18"/>
      <c r="E220" s="18">
        <v>408131.27</v>
      </c>
      <c r="F220" s="18"/>
      <c r="G220" s="18"/>
      <c r="H220" s="18"/>
      <c r="I220" s="18"/>
      <c r="J220" s="18"/>
      <c r="K220" s="18"/>
      <c r="L220" s="10"/>
      <c r="M220" s="18"/>
      <c r="N220" s="10"/>
      <c r="O220" s="18"/>
      <c r="P220" s="18"/>
      <c r="Q220" s="18"/>
      <c r="R220" s="18"/>
      <c r="S220" s="18"/>
    </row>
    <row r="221" spans="1:19" x14ac:dyDescent="0.25">
      <c r="A221" s="9" t="s">
        <v>434</v>
      </c>
      <c r="B221" s="17" t="s">
        <v>435</v>
      </c>
      <c r="C221" s="18">
        <f t="shared" si="16"/>
        <v>229576.24</v>
      </c>
      <c r="D221" s="18"/>
      <c r="E221" s="18">
        <v>229576.24</v>
      </c>
      <c r="F221" s="18"/>
      <c r="G221" s="18"/>
      <c r="H221" s="18"/>
      <c r="I221" s="18"/>
      <c r="J221" s="18"/>
      <c r="K221" s="18"/>
      <c r="L221" s="10"/>
      <c r="M221" s="18"/>
      <c r="N221" s="10"/>
      <c r="O221" s="18"/>
      <c r="P221" s="18"/>
      <c r="Q221" s="18"/>
      <c r="R221" s="18"/>
      <c r="S221" s="18"/>
    </row>
    <row r="222" spans="1:19" x14ac:dyDescent="0.25">
      <c r="A222" s="9" t="s">
        <v>436</v>
      </c>
      <c r="B222" s="17" t="s">
        <v>437</v>
      </c>
      <c r="C222" s="18">
        <f t="shared" si="16"/>
        <v>267659.93</v>
      </c>
      <c r="D222" s="18"/>
      <c r="E222" s="18">
        <v>267659.93</v>
      </c>
      <c r="F222" s="18"/>
      <c r="G222" s="18"/>
      <c r="H222" s="18"/>
      <c r="I222" s="18"/>
      <c r="J222" s="18"/>
      <c r="K222" s="18"/>
      <c r="L222" s="10"/>
      <c r="M222" s="18"/>
      <c r="N222" s="10"/>
      <c r="O222" s="18"/>
      <c r="P222" s="18"/>
      <c r="Q222" s="18"/>
      <c r="R222" s="18"/>
      <c r="S222" s="18"/>
    </row>
    <row r="223" spans="1:19" x14ac:dyDescent="0.25">
      <c r="A223" s="9" t="s">
        <v>438</v>
      </c>
      <c r="B223" s="17" t="s">
        <v>439</v>
      </c>
      <c r="C223" s="18">
        <f t="shared" si="16"/>
        <v>30858.74</v>
      </c>
      <c r="D223" s="18">
        <v>268.27999999999997</v>
      </c>
      <c r="E223" s="18"/>
      <c r="F223" s="18"/>
      <c r="G223" s="18"/>
      <c r="H223" s="18"/>
      <c r="I223" s="18"/>
      <c r="J223" s="18"/>
      <c r="K223" s="18"/>
      <c r="L223" s="10"/>
      <c r="M223" s="18"/>
      <c r="N223" s="10"/>
      <c r="O223" s="18"/>
      <c r="P223" s="18">
        <v>30590.46</v>
      </c>
      <c r="Q223" s="18"/>
      <c r="R223" s="18"/>
      <c r="S223" s="18"/>
    </row>
    <row r="224" spans="1:19" x14ac:dyDescent="0.25">
      <c r="A224" s="9" t="s">
        <v>440</v>
      </c>
      <c r="B224" s="17" t="s">
        <v>441</v>
      </c>
      <c r="C224" s="18">
        <f t="shared" si="16"/>
        <v>244774.12</v>
      </c>
      <c r="D224" s="18"/>
      <c r="E224" s="18">
        <v>244774.12</v>
      </c>
      <c r="F224" s="18"/>
      <c r="G224" s="18"/>
      <c r="H224" s="18"/>
      <c r="I224" s="18"/>
      <c r="J224" s="18"/>
      <c r="K224" s="18"/>
      <c r="L224" s="10"/>
      <c r="M224" s="18"/>
      <c r="N224" s="10"/>
      <c r="O224" s="18"/>
      <c r="P224" s="18"/>
      <c r="Q224" s="18"/>
      <c r="R224" s="18"/>
      <c r="S224" s="18"/>
    </row>
    <row r="225" spans="1:19" x14ac:dyDescent="0.25">
      <c r="A225" s="9" t="s">
        <v>442</v>
      </c>
      <c r="B225" s="17" t="s">
        <v>443</v>
      </c>
      <c r="C225" s="18">
        <f t="shared" si="16"/>
        <v>10088241.77</v>
      </c>
      <c r="D225" s="18">
        <v>87704.71</v>
      </c>
      <c r="E225" s="18"/>
      <c r="F225" s="18">
        <v>1349829.88</v>
      </c>
      <c r="G225" s="18"/>
      <c r="H225" s="18"/>
      <c r="I225" s="18"/>
      <c r="J225" s="18"/>
      <c r="K225" s="18"/>
      <c r="L225" s="10"/>
      <c r="M225" s="18"/>
      <c r="N225" s="10" t="s">
        <v>355</v>
      </c>
      <c r="O225" s="18">
        <v>7949687.6100000003</v>
      </c>
      <c r="P225" s="18">
        <v>701019.57</v>
      </c>
      <c r="Q225" s="18"/>
      <c r="R225" s="18"/>
      <c r="S225" s="18"/>
    </row>
    <row r="226" spans="1:19" x14ac:dyDescent="0.25">
      <c r="A226" s="9" t="s">
        <v>444</v>
      </c>
      <c r="B226" s="17" t="s">
        <v>445</v>
      </c>
      <c r="C226" s="18">
        <f t="shared" si="16"/>
        <v>439740.97</v>
      </c>
      <c r="D226" s="18"/>
      <c r="E226" s="18">
        <v>439740.97</v>
      </c>
      <c r="F226" s="18"/>
      <c r="G226" s="18"/>
      <c r="H226" s="18"/>
      <c r="I226" s="18"/>
      <c r="J226" s="18"/>
      <c r="K226" s="18"/>
      <c r="L226" s="10"/>
      <c r="M226" s="18"/>
      <c r="N226" s="10"/>
      <c r="O226" s="18"/>
      <c r="P226" s="18"/>
      <c r="Q226" s="18"/>
      <c r="R226" s="18"/>
      <c r="S226" s="18"/>
    </row>
    <row r="227" spans="1:19" x14ac:dyDescent="0.25">
      <c r="A227" s="9" t="s">
        <v>446</v>
      </c>
      <c r="B227" s="17" t="s">
        <v>447</v>
      </c>
      <c r="C227" s="18">
        <f t="shared" si="16"/>
        <v>400105.92</v>
      </c>
      <c r="D227" s="18"/>
      <c r="E227" s="18">
        <v>400105.92</v>
      </c>
      <c r="F227" s="18"/>
      <c r="G227" s="18"/>
      <c r="H227" s="18"/>
      <c r="I227" s="18"/>
      <c r="J227" s="18"/>
      <c r="K227" s="18"/>
      <c r="L227" s="10"/>
      <c r="M227" s="18"/>
      <c r="N227" s="10"/>
      <c r="O227" s="18"/>
      <c r="P227" s="18"/>
      <c r="Q227" s="18"/>
      <c r="R227" s="18"/>
      <c r="S227" s="18"/>
    </row>
    <row r="228" spans="1:19" x14ac:dyDescent="0.25">
      <c r="A228" s="9" t="s">
        <v>448</v>
      </c>
      <c r="B228" s="17" t="s">
        <v>449</v>
      </c>
      <c r="C228" s="18">
        <f t="shared" si="16"/>
        <v>516317.93</v>
      </c>
      <c r="D228" s="18"/>
      <c r="E228" s="18">
        <v>516317.93</v>
      </c>
      <c r="F228" s="18"/>
      <c r="G228" s="18"/>
      <c r="H228" s="18"/>
      <c r="I228" s="18"/>
      <c r="J228" s="18"/>
      <c r="K228" s="18"/>
      <c r="L228" s="10"/>
      <c r="M228" s="18"/>
      <c r="N228" s="10"/>
      <c r="O228" s="18"/>
      <c r="P228" s="18"/>
      <c r="Q228" s="18"/>
      <c r="R228" s="18"/>
      <c r="S228" s="18"/>
    </row>
    <row r="229" spans="1:19" x14ac:dyDescent="0.25">
      <c r="A229" s="9" t="s">
        <v>450</v>
      </c>
      <c r="B229" s="17" t="s">
        <v>451</v>
      </c>
      <c r="C229" s="18">
        <f t="shared" si="16"/>
        <v>271032.82</v>
      </c>
      <c r="D229" s="18"/>
      <c r="E229" s="18">
        <v>271032.82</v>
      </c>
      <c r="F229" s="18"/>
      <c r="G229" s="18"/>
      <c r="H229" s="18"/>
      <c r="I229" s="18"/>
      <c r="J229" s="18"/>
      <c r="K229" s="18"/>
      <c r="L229" s="10"/>
      <c r="M229" s="18"/>
      <c r="N229" s="10"/>
      <c r="O229" s="18"/>
      <c r="P229" s="18"/>
      <c r="Q229" s="18"/>
      <c r="R229" s="18"/>
      <c r="S229" s="18"/>
    </row>
    <row r="230" spans="1:19" x14ac:dyDescent="0.25">
      <c r="A230" s="9" t="s">
        <v>452</v>
      </c>
      <c r="B230" s="17" t="s">
        <v>453</v>
      </c>
      <c r="C230" s="18">
        <f t="shared" si="16"/>
        <v>579963.25</v>
      </c>
      <c r="D230" s="18"/>
      <c r="E230" s="18">
        <v>579963.25</v>
      </c>
      <c r="F230" s="18"/>
      <c r="G230" s="18"/>
      <c r="H230" s="18"/>
      <c r="I230" s="18"/>
      <c r="J230" s="18"/>
      <c r="K230" s="18"/>
      <c r="L230" s="10"/>
      <c r="M230" s="18"/>
      <c r="N230" s="10"/>
      <c r="O230" s="18"/>
      <c r="P230" s="18"/>
      <c r="Q230" s="18"/>
      <c r="R230" s="18"/>
      <c r="S230" s="18"/>
    </row>
    <row r="231" spans="1:19" x14ac:dyDescent="0.25">
      <c r="A231" s="9" t="s">
        <v>454</v>
      </c>
      <c r="B231" s="17" t="s">
        <v>455</v>
      </c>
      <c r="C231" s="18">
        <f t="shared" si="16"/>
        <v>225479.78</v>
      </c>
      <c r="D231" s="18"/>
      <c r="E231" s="18">
        <v>225479.78</v>
      </c>
      <c r="F231" s="18"/>
      <c r="G231" s="18"/>
      <c r="H231" s="18"/>
      <c r="I231" s="18"/>
      <c r="J231" s="18"/>
      <c r="K231" s="18"/>
      <c r="L231" s="10"/>
      <c r="M231" s="18"/>
      <c r="N231" s="10"/>
      <c r="O231" s="18"/>
      <c r="P231" s="18"/>
      <c r="Q231" s="18"/>
      <c r="R231" s="18"/>
      <c r="S231" s="18"/>
    </row>
    <row r="232" spans="1:19" x14ac:dyDescent="0.25">
      <c r="A232" s="9" t="s">
        <v>456</v>
      </c>
      <c r="B232" s="17" t="s">
        <v>457</v>
      </c>
      <c r="C232" s="18">
        <f t="shared" si="16"/>
        <v>245884.17</v>
      </c>
      <c r="D232" s="18"/>
      <c r="E232" s="18">
        <v>245884.17</v>
      </c>
      <c r="F232" s="18"/>
      <c r="G232" s="18"/>
      <c r="H232" s="18"/>
      <c r="I232" s="18"/>
      <c r="J232" s="18"/>
      <c r="K232" s="18"/>
      <c r="L232" s="10"/>
      <c r="M232" s="18"/>
      <c r="N232" s="10"/>
      <c r="O232" s="18"/>
      <c r="P232" s="18"/>
      <c r="Q232" s="18"/>
      <c r="R232" s="18"/>
      <c r="S232" s="18"/>
    </row>
    <row r="233" spans="1:19" x14ac:dyDescent="0.25">
      <c r="A233" s="9" t="s">
        <v>458</v>
      </c>
      <c r="B233" s="17" t="s">
        <v>459</v>
      </c>
      <c r="C233" s="18">
        <f t="shared" si="16"/>
        <v>11580105.48</v>
      </c>
      <c r="D233" s="18">
        <v>100674.61</v>
      </c>
      <c r="E233" s="18"/>
      <c r="F233" s="18">
        <v>2461609.17</v>
      </c>
      <c r="G233" s="20">
        <v>2605542.96</v>
      </c>
      <c r="H233" s="18">
        <v>939559</v>
      </c>
      <c r="I233" s="18">
        <v>1164763.69</v>
      </c>
      <c r="J233" s="18">
        <v>511904.26</v>
      </c>
      <c r="K233" s="18"/>
      <c r="L233" s="10"/>
      <c r="M233" s="18"/>
      <c r="N233" s="10"/>
      <c r="O233" s="18"/>
      <c r="P233" s="18">
        <v>3796051.79</v>
      </c>
      <c r="Q233" s="18"/>
      <c r="R233" s="18"/>
      <c r="S233" s="18"/>
    </row>
    <row r="234" spans="1:19" x14ac:dyDescent="0.25">
      <c r="A234" s="9" t="s">
        <v>460</v>
      </c>
      <c r="B234" s="17" t="s">
        <v>461</v>
      </c>
      <c r="C234" s="18">
        <f t="shared" si="16"/>
        <v>3558299.04</v>
      </c>
      <c r="D234" s="18">
        <v>30934.98</v>
      </c>
      <c r="E234" s="18"/>
      <c r="F234" s="18">
        <v>1620528.18</v>
      </c>
      <c r="G234" s="18"/>
      <c r="H234" s="18"/>
      <c r="I234" s="18"/>
      <c r="J234" s="18"/>
      <c r="K234" s="18"/>
      <c r="L234" s="10"/>
      <c r="M234" s="18"/>
      <c r="N234" s="10"/>
      <c r="O234" s="18"/>
      <c r="P234" s="18">
        <v>1906835.88</v>
      </c>
      <c r="Q234" s="18"/>
      <c r="R234" s="18"/>
      <c r="S234" s="18"/>
    </row>
    <row r="235" spans="1:19" x14ac:dyDescent="0.25">
      <c r="A235" s="9" t="s">
        <v>462</v>
      </c>
      <c r="B235" s="17" t="s">
        <v>463</v>
      </c>
      <c r="C235" s="18">
        <f t="shared" si="16"/>
        <v>4450970.78</v>
      </c>
      <c r="D235" s="18">
        <v>38695.65</v>
      </c>
      <c r="E235" s="18"/>
      <c r="F235" s="18">
        <v>2169264.79</v>
      </c>
      <c r="G235" s="18"/>
      <c r="H235" s="18"/>
      <c r="I235" s="18"/>
      <c r="J235" s="18"/>
      <c r="K235" s="18"/>
      <c r="L235" s="10"/>
      <c r="M235" s="18"/>
      <c r="N235" s="10"/>
      <c r="O235" s="18"/>
      <c r="P235" s="18">
        <v>2243010.34</v>
      </c>
      <c r="Q235" s="18"/>
      <c r="R235" s="18"/>
      <c r="S235" s="18"/>
    </row>
    <row r="236" spans="1:19" x14ac:dyDescent="0.25">
      <c r="A236" s="9" t="s">
        <v>464</v>
      </c>
      <c r="B236" s="17" t="s">
        <v>465</v>
      </c>
      <c r="C236" s="18">
        <f t="shared" si="16"/>
        <v>6087494.79</v>
      </c>
      <c r="D236" s="18">
        <v>52923.199999999997</v>
      </c>
      <c r="E236" s="18"/>
      <c r="F236" s="18">
        <v>2159734.98</v>
      </c>
      <c r="G236" s="18"/>
      <c r="H236" s="18"/>
      <c r="I236" s="18"/>
      <c r="J236" s="18"/>
      <c r="K236" s="18"/>
      <c r="L236" s="10"/>
      <c r="M236" s="18"/>
      <c r="N236" s="10"/>
      <c r="O236" s="18"/>
      <c r="P236" s="18">
        <v>3874836.61</v>
      </c>
      <c r="Q236" s="18"/>
      <c r="R236" s="18"/>
      <c r="S236" s="18"/>
    </row>
    <row r="237" spans="1:19" x14ac:dyDescent="0.25">
      <c r="A237" s="9" t="s">
        <v>466</v>
      </c>
      <c r="B237" s="17" t="s">
        <v>467</v>
      </c>
      <c r="C237" s="18">
        <f t="shared" si="16"/>
        <v>18412794.219999999</v>
      </c>
      <c r="D237" s="18">
        <v>160076.34</v>
      </c>
      <c r="E237" s="18"/>
      <c r="F237" s="18">
        <v>1641908.82</v>
      </c>
      <c r="G237" s="18">
        <v>2293148.6</v>
      </c>
      <c r="H237" s="18">
        <v>1062525.1299999999</v>
      </c>
      <c r="I237" s="18">
        <v>925450.75</v>
      </c>
      <c r="J237" s="18"/>
      <c r="K237" s="18"/>
      <c r="L237" s="10"/>
      <c r="M237" s="18"/>
      <c r="N237" s="10" t="s">
        <v>355</v>
      </c>
      <c r="O237" s="18">
        <v>9535146.8399999999</v>
      </c>
      <c r="P237" s="18">
        <v>2794537.74</v>
      </c>
      <c r="Q237" s="18"/>
      <c r="R237" s="18"/>
      <c r="S237" s="18"/>
    </row>
    <row r="238" spans="1:19" x14ac:dyDescent="0.25">
      <c r="A238" s="9" t="s">
        <v>468</v>
      </c>
      <c r="B238" s="17" t="s">
        <v>469</v>
      </c>
      <c r="C238" s="18">
        <f t="shared" si="16"/>
        <v>24216907.920000002</v>
      </c>
      <c r="D238" s="18">
        <v>210535.88</v>
      </c>
      <c r="E238" s="18"/>
      <c r="F238" s="18">
        <v>2530471.56</v>
      </c>
      <c r="G238" s="18">
        <v>3830383.18</v>
      </c>
      <c r="H238" s="18">
        <v>1044588.74</v>
      </c>
      <c r="I238" s="18">
        <v>474391.79</v>
      </c>
      <c r="J238" s="18">
        <v>745840.38</v>
      </c>
      <c r="K238" s="18"/>
      <c r="L238" s="10"/>
      <c r="M238" s="18"/>
      <c r="N238" s="10" t="s">
        <v>355</v>
      </c>
      <c r="O238" s="18">
        <v>15380696.390000001</v>
      </c>
      <c r="P238" s="18"/>
      <c r="Q238" s="18"/>
      <c r="R238" s="18"/>
      <c r="S238" s="18"/>
    </row>
    <row r="239" spans="1:19" x14ac:dyDescent="0.25">
      <c r="A239" s="9" t="s">
        <v>470</v>
      </c>
      <c r="B239" s="17" t="s">
        <v>471</v>
      </c>
      <c r="C239" s="18">
        <f t="shared" si="16"/>
        <v>5174757.66</v>
      </c>
      <c r="D239" s="18">
        <v>44988.08</v>
      </c>
      <c r="E239" s="18"/>
      <c r="F239" s="18">
        <v>2963890.72</v>
      </c>
      <c r="G239" s="18"/>
      <c r="H239" s="18"/>
      <c r="I239" s="18"/>
      <c r="J239" s="18"/>
      <c r="K239" s="18"/>
      <c r="L239" s="10"/>
      <c r="M239" s="18"/>
      <c r="N239" s="10"/>
      <c r="O239" s="18"/>
      <c r="P239" s="18">
        <v>2165878.86</v>
      </c>
      <c r="Q239" s="18"/>
      <c r="R239" s="18"/>
      <c r="S239" s="18"/>
    </row>
    <row r="240" spans="1:19" x14ac:dyDescent="0.25">
      <c r="A240" s="9" t="s">
        <v>472</v>
      </c>
      <c r="B240" s="17" t="s">
        <v>473</v>
      </c>
      <c r="C240" s="18">
        <f t="shared" si="16"/>
        <v>66217.13</v>
      </c>
      <c r="D240" s="18"/>
      <c r="E240" s="18">
        <v>66217.13</v>
      </c>
      <c r="F240" s="18"/>
      <c r="G240" s="18"/>
      <c r="H240" s="18"/>
      <c r="I240" s="18"/>
      <c r="J240" s="18"/>
      <c r="K240" s="18"/>
      <c r="L240" s="10"/>
      <c r="M240" s="18"/>
      <c r="N240" s="10"/>
      <c r="O240" s="18"/>
      <c r="P240" s="18"/>
      <c r="Q240" s="18"/>
      <c r="R240" s="18"/>
      <c r="S240" s="18"/>
    </row>
    <row r="241" spans="1:19" x14ac:dyDescent="0.25">
      <c r="A241" s="9" t="s">
        <v>474</v>
      </c>
      <c r="B241" s="17" t="s">
        <v>475</v>
      </c>
      <c r="C241" s="18">
        <f t="shared" si="16"/>
        <v>25871085.82</v>
      </c>
      <c r="D241" s="18">
        <v>423047.54</v>
      </c>
      <c r="E241" s="18"/>
      <c r="F241" s="18">
        <v>2895815.5</v>
      </c>
      <c r="G241" s="18">
        <v>3974998.71</v>
      </c>
      <c r="H241" s="18">
        <v>2300064.21</v>
      </c>
      <c r="I241" s="18">
        <v>651509.06000000006</v>
      </c>
      <c r="J241" s="18">
        <v>717616.91</v>
      </c>
      <c r="K241" s="18"/>
      <c r="L241" s="10"/>
      <c r="M241" s="18"/>
      <c r="N241" s="10"/>
      <c r="O241" s="18"/>
      <c r="P241" s="18">
        <v>3127814.97</v>
      </c>
      <c r="Q241" s="18">
        <v>11780218.92</v>
      </c>
      <c r="R241" s="18"/>
      <c r="S241" s="18"/>
    </row>
    <row r="242" spans="1:19" x14ac:dyDescent="0.25">
      <c r="A242" s="9" t="s">
        <v>476</v>
      </c>
      <c r="B242" s="17" t="s">
        <v>477</v>
      </c>
      <c r="C242" s="18">
        <f t="shared" si="16"/>
        <v>521627.87</v>
      </c>
      <c r="D242" s="18"/>
      <c r="E242" s="18">
        <v>521627.87</v>
      </c>
      <c r="F242" s="18"/>
      <c r="G242" s="18"/>
      <c r="H242" s="18"/>
      <c r="I242" s="18"/>
      <c r="J242" s="18"/>
      <c r="K242" s="18"/>
      <c r="L242" s="10"/>
      <c r="M242" s="18"/>
      <c r="N242" s="10"/>
      <c r="O242" s="18"/>
      <c r="P242" s="18"/>
      <c r="Q242" s="18"/>
      <c r="R242" s="18"/>
      <c r="S242" s="18"/>
    </row>
    <row r="243" spans="1:19" x14ac:dyDescent="0.25">
      <c r="A243" s="9" t="s">
        <v>478</v>
      </c>
      <c r="B243" s="17" t="s">
        <v>2071</v>
      </c>
      <c r="C243" s="18">
        <f t="shared" si="16"/>
        <v>195404.39</v>
      </c>
      <c r="D243" s="18"/>
      <c r="E243" s="18">
        <v>195404.39</v>
      </c>
      <c r="F243" s="18"/>
      <c r="G243" s="18"/>
      <c r="H243" s="18"/>
      <c r="I243" s="18"/>
      <c r="J243" s="18"/>
      <c r="K243" s="18"/>
      <c r="L243" s="10"/>
      <c r="M243" s="18"/>
      <c r="N243" s="10"/>
      <c r="O243" s="18"/>
      <c r="P243" s="18"/>
      <c r="Q243" s="18"/>
      <c r="R243" s="18"/>
      <c r="S243" s="18"/>
    </row>
    <row r="244" spans="1:19" ht="15" customHeight="1" x14ac:dyDescent="0.25">
      <c r="A244" s="17"/>
      <c r="B244" s="17" t="s">
        <v>479</v>
      </c>
      <c r="C244" s="18">
        <f>ROUND(D244+E244+F244+G244+H244+I244+J244+K244+M244+O244+P244+Q244+R244+S244,2)</f>
        <v>197763246.38999999</v>
      </c>
      <c r="D244" s="18">
        <f t="shared" ref="D244:S244" si="17">SUM(D149:D243)</f>
        <v>1874119.85</v>
      </c>
      <c r="E244" s="18">
        <f t="shared" si="17"/>
        <v>24619311.960000008</v>
      </c>
      <c r="F244" s="18">
        <f t="shared" si="17"/>
        <v>23901137.879999999</v>
      </c>
      <c r="G244" s="18">
        <f t="shared" si="17"/>
        <v>18899005.299999997</v>
      </c>
      <c r="H244" s="18">
        <f t="shared" si="17"/>
        <v>6543032.6600000001</v>
      </c>
      <c r="I244" s="18">
        <f t="shared" si="17"/>
        <v>3958743.03</v>
      </c>
      <c r="J244" s="18">
        <f t="shared" si="17"/>
        <v>5505167.9799999995</v>
      </c>
      <c r="K244" s="18">
        <f t="shared" si="17"/>
        <v>0</v>
      </c>
      <c r="L244" s="10">
        <f t="shared" si="17"/>
        <v>2</v>
      </c>
      <c r="M244" s="18">
        <f t="shared" si="17"/>
        <v>4320905.3600000003</v>
      </c>
      <c r="N244" s="18" t="s">
        <v>42</v>
      </c>
      <c r="O244" s="18">
        <f t="shared" si="17"/>
        <v>75721027.230000004</v>
      </c>
      <c r="P244" s="18">
        <f t="shared" si="17"/>
        <v>20640576.219999999</v>
      </c>
      <c r="Q244" s="18">
        <f t="shared" si="17"/>
        <v>11780218.92</v>
      </c>
      <c r="R244" s="18">
        <f t="shared" si="17"/>
        <v>0</v>
      </c>
      <c r="S244" s="18">
        <f t="shared" si="17"/>
        <v>0</v>
      </c>
    </row>
    <row r="245" spans="1:19" ht="15" customHeight="1" x14ac:dyDescent="0.25">
      <c r="A245" s="12"/>
      <c r="B245" s="12" t="s">
        <v>480</v>
      </c>
      <c r="C245" s="19"/>
      <c r="D245" s="13"/>
      <c r="E245" s="13"/>
      <c r="F245" s="13"/>
      <c r="G245" s="13"/>
      <c r="H245" s="13"/>
      <c r="I245" s="13"/>
      <c r="J245" s="13"/>
      <c r="K245" s="13"/>
      <c r="L245" s="14"/>
      <c r="M245" s="13"/>
      <c r="N245" s="14"/>
      <c r="O245" s="13"/>
      <c r="P245" s="13"/>
      <c r="Q245" s="13"/>
      <c r="R245" s="13"/>
      <c r="S245" s="13"/>
    </row>
    <row r="246" spans="1:19" x14ac:dyDescent="0.25">
      <c r="A246" s="9" t="s">
        <v>481</v>
      </c>
      <c r="B246" s="17" t="s">
        <v>482</v>
      </c>
      <c r="C246" s="18">
        <f t="shared" ref="C246:C266" si="18">ROUNDUP(SUM(D246+E246+F246+G246+H246+I246+J246+K246+M246+O246+P246+Q246+R246+S246),2)</f>
        <v>1440056.35</v>
      </c>
      <c r="D246" s="18"/>
      <c r="E246" s="18">
        <v>65602.75</v>
      </c>
      <c r="F246" s="18"/>
      <c r="G246" s="18">
        <v>1374453.6</v>
      </c>
      <c r="H246" s="18"/>
      <c r="I246" s="18"/>
      <c r="J246" s="18"/>
      <c r="K246" s="18"/>
      <c r="L246" s="10"/>
      <c r="M246" s="18"/>
      <c r="N246" s="10"/>
      <c r="O246" s="18"/>
      <c r="P246" s="18"/>
      <c r="Q246" s="18"/>
      <c r="R246" s="18"/>
      <c r="S246" s="18"/>
    </row>
    <row r="247" spans="1:19" x14ac:dyDescent="0.25">
      <c r="A247" s="9" t="s">
        <v>483</v>
      </c>
      <c r="B247" s="17" t="s">
        <v>484</v>
      </c>
      <c r="C247" s="18">
        <f t="shared" si="18"/>
        <v>244580.22</v>
      </c>
      <c r="D247" s="18"/>
      <c r="E247" s="18">
        <v>244580.22</v>
      </c>
      <c r="F247" s="18"/>
      <c r="G247" s="18"/>
      <c r="H247" s="18"/>
      <c r="I247" s="18"/>
      <c r="J247" s="18"/>
      <c r="K247" s="18"/>
      <c r="L247" s="10"/>
      <c r="M247" s="18"/>
      <c r="N247" s="10"/>
      <c r="O247" s="18"/>
      <c r="P247" s="18"/>
      <c r="Q247" s="18"/>
      <c r="R247" s="18"/>
      <c r="S247" s="18"/>
    </row>
    <row r="248" spans="1:19" x14ac:dyDescent="0.25">
      <c r="A248" s="9" t="s">
        <v>485</v>
      </c>
      <c r="B248" s="17" t="s">
        <v>486</v>
      </c>
      <c r="C248" s="18">
        <f t="shared" si="18"/>
        <v>46081.94</v>
      </c>
      <c r="D248" s="18"/>
      <c r="E248" s="18">
        <v>46081.94</v>
      </c>
      <c r="F248" s="18"/>
      <c r="G248" s="18"/>
      <c r="H248" s="18"/>
      <c r="I248" s="18"/>
      <c r="J248" s="18"/>
      <c r="K248" s="18"/>
      <c r="L248" s="10"/>
      <c r="M248" s="18"/>
      <c r="N248" s="10"/>
      <c r="O248" s="18"/>
      <c r="P248" s="18"/>
      <c r="Q248" s="18"/>
      <c r="R248" s="18"/>
      <c r="S248" s="18"/>
    </row>
    <row r="249" spans="1:19" x14ac:dyDescent="0.25">
      <c r="A249" s="9" t="s">
        <v>487</v>
      </c>
      <c r="B249" s="17" t="s">
        <v>488</v>
      </c>
      <c r="C249" s="18">
        <f t="shared" si="18"/>
        <v>49203.68</v>
      </c>
      <c r="D249" s="18"/>
      <c r="E249" s="18">
        <v>49203.68</v>
      </c>
      <c r="F249" s="18"/>
      <c r="G249" s="18"/>
      <c r="H249" s="18"/>
      <c r="I249" s="18"/>
      <c r="J249" s="18"/>
      <c r="K249" s="18"/>
      <c r="L249" s="10"/>
      <c r="M249" s="18"/>
      <c r="N249" s="10"/>
      <c r="O249" s="18"/>
      <c r="P249" s="18"/>
      <c r="Q249" s="18"/>
      <c r="R249" s="18"/>
      <c r="S249" s="18"/>
    </row>
    <row r="250" spans="1:19" x14ac:dyDescent="0.25">
      <c r="A250" s="9" t="s">
        <v>489</v>
      </c>
      <c r="B250" s="17" t="s">
        <v>490</v>
      </c>
      <c r="C250" s="18">
        <f t="shared" si="18"/>
        <v>150460.53</v>
      </c>
      <c r="D250" s="18"/>
      <c r="E250" s="18">
        <v>150460.53</v>
      </c>
      <c r="F250" s="18"/>
      <c r="G250" s="18"/>
      <c r="H250" s="18"/>
      <c r="I250" s="18"/>
      <c r="J250" s="18"/>
      <c r="K250" s="18"/>
      <c r="L250" s="10"/>
      <c r="M250" s="18"/>
      <c r="N250" s="10"/>
      <c r="O250" s="18"/>
      <c r="P250" s="18"/>
      <c r="Q250" s="18"/>
      <c r="R250" s="18"/>
      <c r="S250" s="18"/>
    </row>
    <row r="251" spans="1:19" x14ac:dyDescent="0.25">
      <c r="A251" s="9" t="s">
        <v>491</v>
      </c>
      <c r="B251" s="17" t="s">
        <v>492</v>
      </c>
      <c r="C251" s="18">
        <f t="shared" si="18"/>
        <v>49688.19</v>
      </c>
      <c r="D251" s="18"/>
      <c r="E251" s="18">
        <v>49688.19</v>
      </c>
      <c r="F251" s="18"/>
      <c r="G251" s="18"/>
      <c r="H251" s="18"/>
      <c r="I251" s="18"/>
      <c r="J251" s="18"/>
      <c r="K251" s="18"/>
      <c r="L251" s="10"/>
      <c r="M251" s="18"/>
      <c r="N251" s="10"/>
      <c r="O251" s="18"/>
      <c r="P251" s="18"/>
      <c r="Q251" s="18"/>
      <c r="R251" s="18"/>
      <c r="S251" s="18"/>
    </row>
    <row r="252" spans="1:19" x14ac:dyDescent="0.25">
      <c r="A252" s="9" t="s">
        <v>493</v>
      </c>
      <c r="B252" s="17" t="s">
        <v>494</v>
      </c>
      <c r="C252" s="18">
        <f t="shared" si="18"/>
        <v>76011.72</v>
      </c>
      <c r="D252" s="18"/>
      <c r="E252" s="18">
        <v>76011.72</v>
      </c>
      <c r="F252" s="18"/>
      <c r="G252" s="18"/>
      <c r="H252" s="18"/>
      <c r="I252" s="18"/>
      <c r="J252" s="18"/>
      <c r="K252" s="18"/>
      <c r="L252" s="10"/>
      <c r="M252" s="18"/>
      <c r="N252" s="10"/>
      <c r="O252" s="18"/>
      <c r="P252" s="18"/>
      <c r="Q252" s="18"/>
      <c r="R252" s="18"/>
      <c r="S252" s="18"/>
    </row>
    <row r="253" spans="1:19" x14ac:dyDescent="0.25">
      <c r="A253" s="9" t="s">
        <v>495</v>
      </c>
      <c r="B253" s="17" t="s">
        <v>496</v>
      </c>
      <c r="C253" s="18">
        <f t="shared" si="18"/>
        <v>176807.9</v>
      </c>
      <c r="D253" s="18"/>
      <c r="E253" s="18">
        <v>176807.9</v>
      </c>
      <c r="F253" s="18"/>
      <c r="G253" s="18"/>
      <c r="H253" s="18"/>
      <c r="I253" s="18"/>
      <c r="J253" s="18"/>
      <c r="K253" s="18"/>
      <c r="L253" s="10"/>
      <c r="M253" s="18"/>
      <c r="N253" s="10"/>
      <c r="O253" s="18"/>
      <c r="P253" s="18"/>
      <c r="Q253" s="18"/>
      <c r="R253" s="18"/>
      <c r="S253" s="18"/>
    </row>
    <row r="254" spans="1:19" x14ac:dyDescent="0.25">
      <c r="A254" s="9" t="s">
        <v>497</v>
      </c>
      <c r="B254" s="17" t="s">
        <v>498</v>
      </c>
      <c r="C254" s="18">
        <f t="shared" si="18"/>
        <v>119589.13</v>
      </c>
      <c r="D254" s="18"/>
      <c r="E254" s="18">
        <v>119589.13</v>
      </c>
      <c r="F254" s="18"/>
      <c r="G254" s="18"/>
      <c r="H254" s="18"/>
      <c r="I254" s="18"/>
      <c r="J254" s="18"/>
      <c r="K254" s="18"/>
      <c r="L254" s="10"/>
      <c r="M254" s="18"/>
      <c r="N254" s="10"/>
      <c r="O254" s="18"/>
      <c r="P254" s="18"/>
      <c r="Q254" s="18"/>
      <c r="R254" s="18"/>
      <c r="S254" s="18"/>
    </row>
    <row r="255" spans="1:19" x14ac:dyDescent="0.25">
      <c r="A255" s="9" t="s">
        <v>499</v>
      </c>
      <c r="B255" s="17" t="s">
        <v>500</v>
      </c>
      <c r="C255" s="18">
        <f t="shared" si="18"/>
        <v>117915.52</v>
      </c>
      <c r="D255" s="18"/>
      <c r="E255" s="18">
        <v>117915.52</v>
      </c>
      <c r="F255" s="18"/>
      <c r="G255" s="18"/>
      <c r="H255" s="18"/>
      <c r="I255" s="18"/>
      <c r="J255" s="18"/>
      <c r="K255" s="18"/>
      <c r="L255" s="10"/>
      <c r="M255" s="18"/>
      <c r="N255" s="10"/>
      <c r="O255" s="18"/>
      <c r="P255" s="18"/>
      <c r="Q255" s="18"/>
      <c r="R255" s="18"/>
      <c r="S255" s="18"/>
    </row>
    <row r="256" spans="1:19" x14ac:dyDescent="0.25">
      <c r="A256" s="9" t="s">
        <v>501</v>
      </c>
      <c r="B256" s="17" t="s">
        <v>502</v>
      </c>
      <c r="C256" s="18">
        <f t="shared" si="18"/>
        <v>329147.8</v>
      </c>
      <c r="D256" s="18"/>
      <c r="E256" s="18">
        <v>34548.32</v>
      </c>
      <c r="F256" s="18"/>
      <c r="G256" s="18"/>
      <c r="H256" s="18"/>
      <c r="I256" s="18"/>
      <c r="J256" s="18">
        <v>294599.48</v>
      </c>
      <c r="K256" s="18"/>
      <c r="L256" s="10"/>
      <c r="M256" s="18"/>
      <c r="N256" s="10"/>
      <c r="O256" s="18"/>
      <c r="P256" s="18"/>
      <c r="Q256" s="18"/>
      <c r="R256" s="18"/>
      <c r="S256" s="18"/>
    </row>
    <row r="257" spans="1:19" x14ac:dyDescent="0.25">
      <c r="A257" s="9" t="s">
        <v>503</v>
      </c>
      <c r="B257" s="17" t="s">
        <v>504</v>
      </c>
      <c r="C257" s="18">
        <f t="shared" si="18"/>
        <v>145371.04</v>
      </c>
      <c r="D257" s="18"/>
      <c r="E257" s="18">
        <v>145371.04</v>
      </c>
      <c r="F257" s="18"/>
      <c r="G257" s="18"/>
      <c r="H257" s="18"/>
      <c r="I257" s="18"/>
      <c r="J257" s="18"/>
      <c r="K257" s="18"/>
      <c r="L257" s="10"/>
      <c r="M257" s="18"/>
      <c r="N257" s="10"/>
      <c r="O257" s="18"/>
      <c r="P257" s="18"/>
      <c r="Q257" s="18"/>
      <c r="R257" s="18"/>
      <c r="S257" s="18"/>
    </row>
    <row r="258" spans="1:19" x14ac:dyDescent="0.25">
      <c r="A258" s="9" t="s">
        <v>505</v>
      </c>
      <c r="B258" s="17" t="s">
        <v>506</v>
      </c>
      <c r="C258" s="18">
        <f t="shared" si="18"/>
        <v>2240449</v>
      </c>
      <c r="D258" s="18"/>
      <c r="E258" s="18">
        <v>97693.86</v>
      </c>
      <c r="F258" s="18"/>
      <c r="G258" s="18">
        <v>1185544.6200000001</v>
      </c>
      <c r="H258" s="18">
        <v>715182.12</v>
      </c>
      <c r="I258" s="18">
        <v>242028.4</v>
      </c>
      <c r="J258" s="18"/>
      <c r="K258" s="18"/>
      <c r="L258" s="10"/>
      <c r="M258" s="18"/>
      <c r="N258" s="10"/>
      <c r="O258" s="18"/>
      <c r="P258" s="18"/>
      <c r="Q258" s="18"/>
      <c r="R258" s="18"/>
      <c r="S258" s="18"/>
    </row>
    <row r="259" spans="1:19" x14ac:dyDescent="0.25">
      <c r="A259" s="9" t="s">
        <v>507</v>
      </c>
      <c r="B259" s="17" t="s">
        <v>508</v>
      </c>
      <c r="C259" s="18">
        <f t="shared" si="18"/>
        <v>3382509.37</v>
      </c>
      <c r="D259" s="18">
        <v>21343.4</v>
      </c>
      <c r="E259" s="18"/>
      <c r="F259" s="18"/>
      <c r="G259" s="18"/>
      <c r="H259" s="18"/>
      <c r="I259" s="18"/>
      <c r="J259" s="18"/>
      <c r="K259" s="18"/>
      <c r="L259" s="10"/>
      <c r="M259" s="18"/>
      <c r="N259" s="10" t="s">
        <v>509</v>
      </c>
      <c r="O259" s="18">
        <v>3361165.97</v>
      </c>
      <c r="P259" s="18"/>
      <c r="Q259" s="18"/>
      <c r="R259" s="18"/>
      <c r="S259" s="18"/>
    </row>
    <row r="260" spans="1:19" x14ac:dyDescent="0.25">
      <c r="A260" s="9" t="s">
        <v>510</v>
      </c>
      <c r="B260" s="17" t="s">
        <v>511</v>
      </c>
      <c r="C260" s="18">
        <f t="shared" si="18"/>
        <v>698705.11</v>
      </c>
      <c r="D260" s="18"/>
      <c r="E260" s="18">
        <v>43088.07</v>
      </c>
      <c r="F260" s="18">
        <v>655617.04</v>
      </c>
      <c r="G260" s="18"/>
      <c r="H260" s="18"/>
      <c r="I260" s="18"/>
      <c r="J260" s="18"/>
      <c r="K260" s="18"/>
      <c r="L260" s="10"/>
      <c r="M260" s="18"/>
      <c r="N260" s="10"/>
      <c r="O260" s="18"/>
      <c r="P260" s="18"/>
      <c r="Q260" s="18"/>
      <c r="R260" s="18"/>
      <c r="S260" s="18"/>
    </row>
    <row r="261" spans="1:19" x14ac:dyDescent="0.25">
      <c r="A261" s="9" t="s">
        <v>512</v>
      </c>
      <c r="B261" s="17" t="s">
        <v>513</v>
      </c>
      <c r="C261" s="18">
        <f t="shared" si="18"/>
        <v>131536.82999999999</v>
      </c>
      <c r="D261" s="18"/>
      <c r="E261" s="18">
        <v>131536.82999999999</v>
      </c>
      <c r="F261" s="18"/>
      <c r="G261" s="18"/>
      <c r="H261" s="18"/>
      <c r="I261" s="18"/>
      <c r="J261" s="18"/>
      <c r="K261" s="18"/>
      <c r="L261" s="10"/>
      <c r="M261" s="18"/>
      <c r="N261" s="10"/>
      <c r="O261" s="18"/>
      <c r="P261" s="18"/>
      <c r="Q261" s="18"/>
      <c r="R261" s="18"/>
      <c r="S261" s="18"/>
    </row>
    <row r="262" spans="1:19" x14ac:dyDescent="0.25">
      <c r="A262" s="9" t="s">
        <v>514</v>
      </c>
      <c r="B262" s="17" t="s">
        <v>515</v>
      </c>
      <c r="C262" s="18">
        <f t="shared" si="18"/>
        <v>103998.62</v>
      </c>
      <c r="D262" s="18"/>
      <c r="E262" s="18">
        <v>103998.62</v>
      </c>
      <c r="F262" s="18"/>
      <c r="G262" s="18"/>
      <c r="H262" s="18"/>
      <c r="I262" s="18"/>
      <c r="J262" s="18"/>
      <c r="K262" s="18"/>
      <c r="L262" s="10"/>
      <c r="M262" s="18"/>
      <c r="N262" s="10"/>
      <c r="O262" s="18"/>
      <c r="P262" s="18"/>
      <c r="Q262" s="18"/>
      <c r="R262" s="18"/>
      <c r="S262" s="18"/>
    </row>
    <row r="263" spans="1:19" x14ac:dyDescent="0.25">
      <c r="A263" s="9" t="s">
        <v>516</v>
      </c>
      <c r="B263" s="17" t="s">
        <v>517</v>
      </c>
      <c r="C263" s="18">
        <f t="shared" si="18"/>
        <v>4684225.63</v>
      </c>
      <c r="D263" s="18"/>
      <c r="E263" s="18">
        <v>149308.04</v>
      </c>
      <c r="F263" s="18"/>
      <c r="G263" s="18">
        <v>2585744.98</v>
      </c>
      <c r="H263" s="18">
        <v>1259743.5</v>
      </c>
      <c r="I263" s="18">
        <v>689429.11</v>
      </c>
      <c r="J263" s="18"/>
      <c r="K263" s="18"/>
      <c r="L263" s="10"/>
      <c r="M263" s="18"/>
      <c r="N263" s="10"/>
      <c r="O263" s="18"/>
      <c r="P263" s="18"/>
      <c r="Q263" s="18"/>
      <c r="R263" s="18"/>
      <c r="S263" s="18"/>
    </row>
    <row r="264" spans="1:19" x14ac:dyDescent="0.25">
      <c r="A264" s="9" t="s">
        <v>518</v>
      </c>
      <c r="B264" s="17" t="s">
        <v>519</v>
      </c>
      <c r="C264" s="18">
        <f t="shared" si="18"/>
        <v>2911508.26</v>
      </c>
      <c r="D264" s="18"/>
      <c r="E264" s="18">
        <v>125109.5</v>
      </c>
      <c r="F264" s="18"/>
      <c r="G264" s="18">
        <v>1474314.59</v>
      </c>
      <c r="H264" s="18">
        <v>966236.46</v>
      </c>
      <c r="I264" s="18">
        <v>345847.71</v>
      </c>
      <c r="J264" s="18"/>
      <c r="K264" s="18"/>
      <c r="L264" s="10"/>
      <c r="M264" s="18"/>
      <c r="N264" s="10"/>
      <c r="O264" s="18"/>
      <c r="P264" s="18"/>
      <c r="Q264" s="18"/>
      <c r="R264" s="18"/>
      <c r="S264" s="18"/>
    </row>
    <row r="265" spans="1:19" x14ac:dyDescent="0.25">
      <c r="A265" s="9" t="s">
        <v>520</v>
      </c>
      <c r="B265" s="17" t="s">
        <v>521</v>
      </c>
      <c r="C265" s="18">
        <f t="shared" si="18"/>
        <v>237448.3</v>
      </c>
      <c r="D265" s="18"/>
      <c r="E265" s="18">
        <v>237448.3</v>
      </c>
      <c r="F265" s="18"/>
      <c r="G265" s="18"/>
      <c r="H265" s="18"/>
      <c r="I265" s="18"/>
      <c r="J265" s="18"/>
      <c r="K265" s="18"/>
      <c r="L265" s="10"/>
      <c r="M265" s="18"/>
      <c r="N265" s="10"/>
      <c r="O265" s="18"/>
      <c r="P265" s="18"/>
      <c r="Q265" s="18"/>
      <c r="R265" s="18"/>
      <c r="S265" s="18"/>
    </row>
    <row r="266" spans="1:19" x14ac:dyDescent="0.25">
      <c r="A266" s="9" t="s">
        <v>522</v>
      </c>
      <c r="B266" s="17" t="s">
        <v>523</v>
      </c>
      <c r="C266" s="18">
        <f t="shared" si="18"/>
        <v>3665453.2</v>
      </c>
      <c r="D266" s="18"/>
      <c r="E266" s="18">
        <v>140024.07999999999</v>
      </c>
      <c r="F266" s="18"/>
      <c r="G266" s="18">
        <v>2172808.3199999998</v>
      </c>
      <c r="H266" s="18">
        <v>815569.38</v>
      </c>
      <c r="I266" s="18">
        <v>537051.42000000004</v>
      </c>
      <c r="J266" s="18"/>
      <c r="K266" s="18"/>
      <c r="L266" s="10"/>
      <c r="M266" s="18"/>
      <c r="N266" s="10"/>
      <c r="O266" s="18"/>
      <c r="P266" s="21"/>
      <c r="Q266" s="18"/>
      <c r="R266" s="18"/>
      <c r="S266" s="18"/>
    </row>
    <row r="267" spans="1:19" x14ac:dyDescent="0.25">
      <c r="A267" s="9" t="s">
        <v>524</v>
      </c>
      <c r="B267" s="17" t="s">
        <v>525</v>
      </c>
      <c r="C267" s="18">
        <f>ROUNDUP(SUM(D267+E267+F267+G267+H267+I267+J267+K267+M267+O267+O266+Q267+R267+S267),2)</f>
        <v>9617304.0299999993</v>
      </c>
      <c r="D267" s="18">
        <v>91767.98</v>
      </c>
      <c r="E267" s="18"/>
      <c r="F267" s="18"/>
      <c r="G267" s="18">
        <v>5215156.08</v>
      </c>
      <c r="H267" s="18">
        <v>3425228.03</v>
      </c>
      <c r="I267" s="18">
        <v>885151.94</v>
      </c>
      <c r="J267" s="18"/>
      <c r="K267" s="18"/>
      <c r="L267" s="10"/>
      <c r="M267" s="18"/>
      <c r="N267" s="10"/>
      <c r="O267" s="18"/>
      <c r="P267" s="21"/>
      <c r="Q267" s="18"/>
      <c r="R267" s="18"/>
      <c r="S267" s="18"/>
    </row>
    <row r="268" spans="1:19" x14ac:dyDescent="0.25">
      <c r="A268" s="9" t="s">
        <v>526</v>
      </c>
      <c r="B268" s="17" t="s">
        <v>527</v>
      </c>
      <c r="C268" s="18">
        <f t="shared" ref="C268:C277" si="19">ROUNDUP(SUM(D268+E268+F268+G268+H268+I268+J268+K268+M268+O268+P268+Q268+R268+S268),2)</f>
        <v>2776812.23</v>
      </c>
      <c r="D268" s="18">
        <v>57885.94</v>
      </c>
      <c r="E268" s="18"/>
      <c r="F268" s="18"/>
      <c r="G268" s="18"/>
      <c r="H268" s="18">
        <v>2061481.7</v>
      </c>
      <c r="I268" s="18">
        <v>657444.59</v>
      </c>
      <c r="J268" s="18"/>
      <c r="K268" s="18"/>
      <c r="L268" s="10"/>
      <c r="M268" s="18"/>
      <c r="N268" s="10"/>
      <c r="O268" s="18"/>
      <c r="P268" s="18"/>
      <c r="Q268" s="18"/>
      <c r="R268" s="18"/>
      <c r="S268" s="18"/>
    </row>
    <row r="269" spans="1:19" x14ac:dyDescent="0.25">
      <c r="A269" s="9" t="s">
        <v>528</v>
      </c>
      <c r="B269" s="17" t="s">
        <v>529</v>
      </c>
      <c r="C269" s="18">
        <f t="shared" si="19"/>
        <v>5666534.6200000001</v>
      </c>
      <c r="D269" s="18">
        <v>47953.4</v>
      </c>
      <c r="E269" s="18"/>
      <c r="F269" s="18"/>
      <c r="G269" s="18">
        <v>3157452.93</v>
      </c>
      <c r="H269" s="18">
        <v>2006727.99</v>
      </c>
      <c r="I269" s="18">
        <v>454400.3</v>
      </c>
      <c r="J269" s="18"/>
      <c r="K269" s="18"/>
      <c r="L269" s="10"/>
      <c r="M269" s="18"/>
      <c r="N269" s="10"/>
      <c r="O269" s="18"/>
      <c r="P269" s="18"/>
      <c r="Q269" s="18"/>
      <c r="R269" s="18"/>
      <c r="S269" s="18"/>
    </row>
    <row r="270" spans="1:19" x14ac:dyDescent="0.25">
      <c r="A270" s="9" t="s">
        <v>530</v>
      </c>
      <c r="B270" s="17" t="s">
        <v>531</v>
      </c>
      <c r="C270" s="18">
        <f t="shared" si="19"/>
        <v>4998988.47</v>
      </c>
      <c r="D270" s="18">
        <v>100525.83</v>
      </c>
      <c r="E270" s="18"/>
      <c r="F270" s="18"/>
      <c r="G270" s="18">
        <v>2500495.14</v>
      </c>
      <c r="H270" s="18">
        <v>1973776.37</v>
      </c>
      <c r="I270" s="18">
        <v>424191.13</v>
      </c>
      <c r="J270" s="18"/>
      <c r="K270" s="18"/>
      <c r="L270" s="10"/>
      <c r="M270" s="18"/>
      <c r="N270" s="10"/>
      <c r="O270" s="18"/>
      <c r="P270" s="18"/>
      <c r="Q270" s="18"/>
      <c r="R270" s="18"/>
      <c r="S270" s="18"/>
    </row>
    <row r="271" spans="1:19" ht="15" customHeight="1" x14ac:dyDescent="0.25">
      <c r="A271" s="9" t="s">
        <v>532</v>
      </c>
      <c r="B271" s="17" t="s">
        <v>533</v>
      </c>
      <c r="C271" s="18">
        <f t="shared" si="19"/>
        <v>547747.88</v>
      </c>
      <c r="D271" s="18"/>
      <c r="E271" s="18">
        <v>547747.88</v>
      </c>
      <c r="F271" s="18"/>
      <c r="G271" s="18"/>
      <c r="H271" s="18"/>
      <c r="I271" s="18"/>
      <c r="J271" s="18"/>
      <c r="K271" s="18"/>
      <c r="L271" s="10"/>
      <c r="M271" s="18"/>
      <c r="N271" s="10"/>
      <c r="O271" s="18"/>
      <c r="P271" s="18"/>
      <c r="Q271" s="18"/>
      <c r="R271" s="18"/>
      <c r="S271" s="18"/>
    </row>
    <row r="272" spans="1:19" x14ac:dyDescent="0.25">
      <c r="A272" s="9" t="s">
        <v>534</v>
      </c>
      <c r="B272" s="17" t="s">
        <v>535</v>
      </c>
      <c r="C272" s="18">
        <f t="shared" si="19"/>
        <v>4187385.71</v>
      </c>
      <c r="D272" s="18"/>
      <c r="E272" s="18">
        <v>136283.76999999999</v>
      </c>
      <c r="F272" s="18"/>
      <c r="G272" s="18">
        <v>2158527.98</v>
      </c>
      <c r="H272" s="18">
        <v>1341741.73</v>
      </c>
      <c r="I272" s="18">
        <v>550832.23</v>
      </c>
      <c r="J272" s="18"/>
      <c r="K272" s="18"/>
      <c r="L272" s="10"/>
      <c r="M272" s="18"/>
      <c r="N272" s="10"/>
      <c r="O272" s="18"/>
      <c r="P272" s="18"/>
      <c r="Q272" s="18"/>
      <c r="R272" s="18"/>
      <c r="S272" s="18"/>
    </row>
    <row r="273" spans="1:19" x14ac:dyDescent="0.25">
      <c r="A273" s="9" t="s">
        <v>536</v>
      </c>
      <c r="B273" s="17" t="s">
        <v>537</v>
      </c>
      <c r="C273" s="18">
        <f t="shared" si="19"/>
        <v>5330975.47</v>
      </c>
      <c r="D273" s="18"/>
      <c r="E273" s="18">
        <v>225983.19</v>
      </c>
      <c r="F273" s="18"/>
      <c r="G273" s="18">
        <v>3007884.87</v>
      </c>
      <c r="H273" s="18">
        <v>1212730.4099999999</v>
      </c>
      <c r="I273" s="18">
        <v>884377</v>
      </c>
      <c r="J273" s="18"/>
      <c r="K273" s="18"/>
      <c r="L273" s="10"/>
      <c r="M273" s="18"/>
      <c r="N273" s="10"/>
      <c r="O273" s="18"/>
      <c r="P273" s="18"/>
      <c r="Q273" s="18"/>
      <c r="R273" s="18"/>
      <c r="S273" s="18"/>
    </row>
    <row r="274" spans="1:19" x14ac:dyDescent="0.25">
      <c r="A274" s="9" t="s">
        <v>538</v>
      </c>
      <c r="B274" s="17" t="s">
        <v>539</v>
      </c>
      <c r="C274" s="18">
        <f t="shared" si="19"/>
        <v>3123963.03</v>
      </c>
      <c r="D274" s="18"/>
      <c r="E274" s="18">
        <v>116078.16</v>
      </c>
      <c r="F274" s="18"/>
      <c r="G274" s="18">
        <v>3007884.87</v>
      </c>
      <c r="H274" s="18"/>
      <c r="I274" s="18"/>
      <c r="J274" s="18"/>
      <c r="K274" s="18"/>
      <c r="L274" s="10"/>
      <c r="M274" s="18"/>
      <c r="N274" s="10"/>
      <c r="O274" s="18"/>
      <c r="P274" s="18"/>
      <c r="Q274" s="18"/>
      <c r="R274" s="18"/>
      <c r="S274" s="18"/>
    </row>
    <row r="275" spans="1:19" x14ac:dyDescent="0.25">
      <c r="A275" s="9" t="s">
        <v>540</v>
      </c>
      <c r="B275" s="17" t="s">
        <v>541</v>
      </c>
      <c r="C275" s="18">
        <f t="shared" si="19"/>
        <v>2791525.32</v>
      </c>
      <c r="D275" s="18"/>
      <c r="E275" s="18">
        <v>210376.1</v>
      </c>
      <c r="F275" s="18"/>
      <c r="G275" s="18">
        <v>1509882.93</v>
      </c>
      <c r="H275" s="18">
        <v>696047.64</v>
      </c>
      <c r="I275" s="18">
        <v>375218.65</v>
      </c>
      <c r="J275" s="18"/>
      <c r="K275" s="18"/>
      <c r="L275" s="10"/>
      <c r="M275" s="18"/>
      <c r="N275" s="10"/>
      <c r="O275" s="18"/>
      <c r="P275" s="18"/>
      <c r="Q275" s="18"/>
      <c r="R275" s="18"/>
      <c r="S275" s="18"/>
    </row>
    <row r="276" spans="1:19" x14ac:dyDescent="0.25">
      <c r="A276" s="9" t="s">
        <v>542</v>
      </c>
      <c r="B276" s="17" t="s">
        <v>543</v>
      </c>
      <c r="C276" s="18">
        <f t="shared" si="19"/>
        <v>8322084.6500000004</v>
      </c>
      <c r="D276" s="18"/>
      <c r="E276" s="18">
        <v>244066.76</v>
      </c>
      <c r="F276" s="18"/>
      <c r="G276" s="18">
        <v>5681876.3899999997</v>
      </c>
      <c r="H276" s="18">
        <v>1551507.46</v>
      </c>
      <c r="I276" s="18">
        <v>844634.04</v>
      </c>
      <c r="J276" s="18"/>
      <c r="K276" s="18"/>
      <c r="L276" s="10"/>
      <c r="M276" s="18"/>
      <c r="N276" s="10"/>
      <c r="O276" s="18"/>
      <c r="P276" s="18"/>
      <c r="Q276" s="18"/>
      <c r="R276" s="18"/>
      <c r="S276" s="18"/>
    </row>
    <row r="277" spans="1:19" x14ac:dyDescent="0.25">
      <c r="A277" s="9" t="s">
        <v>544</v>
      </c>
      <c r="B277" s="17" t="s">
        <v>545</v>
      </c>
      <c r="C277" s="18">
        <f t="shared" si="19"/>
        <v>3622059.38</v>
      </c>
      <c r="D277" s="18"/>
      <c r="E277" s="18">
        <v>161677.69</v>
      </c>
      <c r="F277" s="18"/>
      <c r="G277" s="18">
        <v>1746673.53</v>
      </c>
      <c r="H277" s="18">
        <v>1214738.5</v>
      </c>
      <c r="I277" s="18">
        <v>498969.66</v>
      </c>
      <c r="J277" s="18"/>
      <c r="K277" s="18"/>
      <c r="L277" s="10"/>
      <c r="M277" s="18"/>
      <c r="N277" s="10"/>
      <c r="O277" s="18"/>
      <c r="P277" s="18"/>
      <c r="Q277" s="18"/>
      <c r="R277" s="18"/>
      <c r="S277" s="18"/>
    </row>
    <row r="278" spans="1:19" ht="27.75" customHeight="1" x14ac:dyDescent="0.25">
      <c r="A278" s="17"/>
      <c r="B278" s="17" t="s">
        <v>546</v>
      </c>
      <c r="C278" s="18">
        <f>ROUND(D278+E278+F278+G278+H278+I278+J278+K278+M278+O278+P278+Q278+R278+S278,2)</f>
        <v>71986129.129999995</v>
      </c>
      <c r="D278" s="18">
        <f t="shared" ref="D278:S278" si="20">SUM(D246:D277)</f>
        <v>319476.55</v>
      </c>
      <c r="E278" s="18">
        <f t="shared" si="20"/>
        <v>3946281.7900000005</v>
      </c>
      <c r="F278" s="18">
        <f t="shared" si="20"/>
        <v>655617.04</v>
      </c>
      <c r="G278" s="18">
        <f t="shared" si="20"/>
        <v>36778700.830000006</v>
      </c>
      <c r="H278" s="18">
        <f t="shared" si="20"/>
        <v>19240711.290000003</v>
      </c>
      <c r="I278" s="18">
        <f t="shared" si="20"/>
        <v>7389576.1800000006</v>
      </c>
      <c r="J278" s="18">
        <f t="shared" si="20"/>
        <v>294599.48</v>
      </c>
      <c r="K278" s="18">
        <f t="shared" si="20"/>
        <v>0</v>
      </c>
      <c r="L278" s="10">
        <f t="shared" si="20"/>
        <v>0</v>
      </c>
      <c r="M278" s="18">
        <f t="shared" si="20"/>
        <v>0</v>
      </c>
      <c r="N278" s="18" t="s">
        <v>42</v>
      </c>
      <c r="O278" s="18">
        <f t="shared" si="20"/>
        <v>3361165.97</v>
      </c>
      <c r="P278" s="18">
        <f t="shared" si="20"/>
        <v>0</v>
      </c>
      <c r="Q278" s="18">
        <f t="shared" si="20"/>
        <v>0</v>
      </c>
      <c r="R278" s="18">
        <f t="shared" si="20"/>
        <v>0</v>
      </c>
      <c r="S278" s="18">
        <f t="shared" si="20"/>
        <v>0</v>
      </c>
    </row>
    <row r="279" spans="1:19" ht="15" customHeight="1" x14ac:dyDescent="0.25">
      <c r="A279" s="12"/>
      <c r="B279" s="12" t="s">
        <v>547</v>
      </c>
      <c r="C279" s="19"/>
      <c r="D279" s="13"/>
      <c r="E279" s="13"/>
      <c r="F279" s="13"/>
      <c r="G279" s="13"/>
      <c r="H279" s="13"/>
      <c r="I279" s="13"/>
      <c r="J279" s="13"/>
      <c r="K279" s="13"/>
      <c r="L279" s="14"/>
      <c r="M279" s="13"/>
      <c r="N279" s="14"/>
      <c r="O279" s="13"/>
      <c r="P279" s="13"/>
      <c r="Q279" s="13"/>
      <c r="R279" s="13"/>
      <c r="S279" s="13"/>
    </row>
    <row r="280" spans="1:19" x14ac:dyDescent="0.25">
      <c r="A280" s="9" t="s">
        <v>548</v>
      </c>
      <c r="B280" s="17" t="s">
        <v>549</v>
      </c>
      <c r="C280" s="18">
        <f t="shared" ref="C280:C311" si="21">ROUNDUP(SUM(D280+E280+F280+G280+H280+I280+J280+K280+M280+O280+P280+Q280+R280+S280),2)</f>
        <v>1672214.29</v>
      </c>
      <c r="D280" s="18"/>
      <c r="E280" s="18">
        <v>1672214.29</v>
      </c>
      <c r="F280" s="18"/>
      <c r="G280" s="18"/>
      <c r="H280" s="18"/>
      <c r="I280" s="18"/>
      <c r="J280" s="18"/>
      <c r="K280" s="18"/>
      <c r="L280" s="10"/>
      <c r="M280" s="18"/>
      <c r="N280" s="10"/>
      <c r="O280" s="18"/>
      <c r="P280" s="18"/>
      <c r="Q280" s="18"/>
      <c r="R280" s="18"/>
      <c r="S280" s="18"/>
    </row>
    <row r="281" spans="1:19" x14ac:dyDescent="0.25">
      <c r="A281" s="9" t="s">
        <v>550</v>
      </c>
      <c r="B281" s="17" t="s">
        <v>551</v>
      </c>
      <c r="C281" s="18">
        <f t="shared" si="21"/>
        <v>35483516.140000001</v>
      </c>
      <c r="D281" s="18">
        <v>694064.69</v>
      </c>
      <c r="E281" s="18">
        <v>1873252.22</v>
      </c>
      <c r="F281" s="18"/>
      <c r="G281" s="18"/>
      <c r="H281" s="18">
        <v>1537745.1</v>
      </c>
      <c r="I281" s="18">
        <v>1292413.04</v>
      </c>
      <c r="J281" s="18"/>
      <c r="K281" s="18"/>
      <c r="L281" s="10">
        <v>2</v>
      </c>
      <c r="M281" s="18">
        <v>11270509.279999999</v>
      </c>
      <c r="N281" s="10" t="s">
        <v>552</v>
      </c>
      <c r="O281" s="18">
        <v>5727879.1900000004</v>
      </c>
      <c r="P281" s="18"/>
      <c r="Q281" s="18">
        <v>13087652.619999999</v>
      </c>
      <c r="R281" s="18"/>
      <c r="S281" s="18"/>
    </row>
    <row r="282" spans="1:19" x14ac:dyDescent="0.25">
      <c r="A282" s="9" t="s">
        <v>553</v>
      </c>
      <c r="B282" s="17" t="s">
        <v>554</v>
      </c>
      <c r="C282" s="18">
        <f t="shared" si="21"/>
        <v>508865.38</v>
      </c>
      <c r="D282" s="18"/>
      <c r="E282" s="18">
        <v>508865.38</v>
      </c>
      <c r="F282" s="18"/>
      <c r="G282" s="18"/>
      <c r="H282" s="18"/>
      <c r="I282" s="18"/>
      <c r="J282" s="18"/>
      <c r="K282" s="18"/>
      <c r="L282" s="10"/>
      <c r="M282" s="18"/>
      <c r="N282" s="10"/>
      <c r="O282" s="18"/>
      <c r="P282" s="18"/>
      <c r="Q282" s="18"/>
      <c r="R282" s="18"/>
      <c r="S282" s="18"/>
    </row>
    <row r="283" spans="1:19" x14ac:dyDescent="0.25">
      <c r="A283" s="9" t="s">
        <v>555</v>
      </c>
      <c r="B283" s="17" t="s">
        <v>556</v>
      </c>
      <c r="C283" s="18">
        <f t="shared" si="21"/>
        <v>150439.54</v>
      </c>
      <c r="D283" s="18"/>
      <c r="E283" s="18">
        <v>150439.54</v>
      </c>
      <c r="F283" s="18"/>
      <c r="G283" s="18"/>
      <c r="H283" s="18"/>
      <c r="I283" s="18"/>
      <c r="J283" s="18"/>
      <c r="K283" s="18"/>
      <c r="L283" s="10"/>
      <c r="M283" s="18"/>
      <c r="N283" s="10"/>
      <c r="O283" s="18"/>
      <c r="P283" s="18"/>
      <c r="Q283" s="18"/>
      <c r="R283" s="18"/>
      <c r="S283" s="18"/>
    </row>
    <row r="284" spans="1:19" x14ac:dyDescent="0.25">
      <c r="A284" s="9" t="s">
        <v>557</v>
      </c>
      <c r="B284" s="17" t="s">
        <v>558</v>
      </c>
      <c r="C284" s="18">
        <f t="shared" si="21"/>
        <v>2550901.6800000002</v>
      </c>
      <c r="D284" s="18">
        <v>50017.68</v>
      </c>
      <c r="E284" s="18"/>
      <c r="F284" s="18"/>
      <c r="G284" s="18"/>
      <c r="H284" s="18">
        <v>1250442</v>
      </c>
      <c r="I284" s="18">
        <v>1250442</v>
      </c>
      <c r="J284" s="18"/>
      <c r="K284" s="18"/>
      <c r="L284" s="10"/>
      <c r="M284" s="18"/>
      <c r="N284" s="10"/>
      <c r="O284" s="18"/>
      <c r="P284" s="18"/>
      <c r="Q284" s="18"/>
      <c r="R284" s="18"/>
      <c r="S284" s="18"/>
    </row>
    <row r="285" spans="1:19" x14ac:dyDescent="0.25">
      <c r="A285" s="9" t="s">
        <v>559</v>
      </c>
      <c r="B285" s="17" t="s">
        <v>560</v>
      </c>
      <c r="C285" s="18">
        <f t="shared" si="21"/>
        <v>17608294.670000002</v>
      </c>
      <c r="D285" s="18">
        <v>348787.18</v>
      </c>
      <c r="E285" s="18">
        <v>403942.75</v>
      </c>
      <c r="F285" s="18"/>
      <c r="G285" s="18"/>
      <c r="H285" s="18"/>
      <c r="I285" s="18"/>
      <c r="J285" s="18"/>
      <c r="K285" s="18"/>
      <c r="L285" s="10">
        <v>3</v>
      </c>
      <c r="M285" s="18">
        <v>16855564.739999998</v>
      </c>
      <c r="N285" s="10"/>
      <c r="O285" s="18"/>
      <c r="P285" s="18"/>
      <c r="Q285" s="18"/>
      <c r="R285" s="18"/>
      <c r="S285" s="18"/>
    </row>
    <row r="286" spans="1:19" x14ac:dyDescent="0.25">
      <c r="A286" s="9" t="s">
        <v>561</v>
      </c>
      <c r="B286" s="17" t="s">
        <v>562</v>
      </c>
      <c r="C286" s="18">
        <f t="shared" si="21"/>
        <v>140440.01</v>
      </c>
      <c r="D286" s="18"/>
      <c r="E286" s="18">
        <v>140440.01</v>
      </c>
      <c r="F286" s="18"/>
      <c r="G286" s="18"/>
      <c r="H286" s="18"/>
      <c r="I286" s="18"/>
      <c r="J286" s="18"/>
      <c r="K286" s="18"/>
      <c r="L286" s="10"/>
      <c r="M286" s="18"/>
      <c r="N286" s="10"/>
      <c r="O286" s="18"/>
      <c r="P286" s="18"/>
      <c r="Q286" s="18"/>
      <c r="R286" s="18"/>
      <c r="S286" s="18"/>
    </row>
    <row r="287" spans="1:19" x14ac:dyDescent="0.25">
      <c r="A287" s="9" t="s">
        <v>563</v>
      </c>
      <c r="B287" s="17" t="s">
        <v>564</v>
      </c>
      <c r="C287" s="18">
        <f t="shared" si="21"/>
        <v>56349501.960000001</v>
      </c>
      <c r="D287" s="18">
        <v>1149912.8799999999</v>
      </c>
      <c r="E287" s="18">
        <v>739450.35</v>
      </c>
      <c r="F287" s="18"/>
      <c r="G287" s="18">
        <v>8604962.8900000006</v>
      </c>
      <c r="H287" s="18"/>
      <c r="I287" s="18"/>
      <c r="J287" s="18">
        <v>2443169.7799999998</v>
      </c>
      <c r="K287" s="18"/>
      <c r="L287" s="10">
        <v>6</v>
      </c>
      <c r="M287" s="18">
        <v>23372392.030000001</v>
      </c>
      <c r="N287" s="10" t="s">
        <v>552</v>
      </c>
      <c r="O287" s="18">
        <v>20039614.030000001</v>
      </c>
      <c r="P287" s="18"/>
      <c r="Q287" s="18"/>
      <c r="R287" s="18"/>
      <c r="S287" s="18"/>
    </row>
    <row r="288" spans="1:19" x14ac:dyDescent="0.25">
      <c r="A288" s="9" t="s">
        <v>565</v>
      </c>
      <c r="B288" s="17" t="s">
        <v>566</v>
      </c>
      <c r="C288" s="18">
        <f t="shared" si="21"/>
        <v>351155.5</v>
      </c>
      <c r="D288" s="18"/>
      <c r="E288" s="18">
        <v>351155.5</v>
      </c>
      <c r="F288" s="18"/>
      <c r="G288" s="18"/>
      <c r="H288" s="18"/>
      <c r="I288" s="18"/>
      <c r="J288" s="18"/>
      <c r="K288" s="18"/>
      <c r="L288" s="10"/>
      <c r="M288" s="18"/>
      <c r="N288" s="10"/>
      <c r="O288" s="18"/>
      <c r="P288" s="18"/>
      <c r="Q288" s="18"/>
      <c r="R288" s="18"/>
      <c r="S288" s="18"/>
    </row>
    <row r="289" spans="1:19" x14ac:dyDescent="0.25">
      <c r="A289" s="9" t="s">
        <v>567</v>
      </c>
      <c r="B289" s="17" t="s">
        <v>568</v>
      </c>
      <c r="C289" s="18">
        <f t="shared" si="21"/>
        <v>342005.12</v>
      </c>
      <c r="D289" s="18"/>
      <c r="E289" s="18">
        <v>342005.12</v>
      </c>
      <c r="F289" s="18"/>
      <c r="G289" s="18"/>
      <c r="H289" s="18"/>
      <c r="I289" s="18"/>
      <c r="J289" s="18"/>
      <c r="K289" s="18"/>
      <c r="L289" s="10"/>
      <c r="M289" s="18"/>
      <c r="N289" s="10"/>
      <c r="O289" s="18"/>
      <c r="P289" s="18"/>
      <c r="Q289" s="18"/>
      <c r="R289" s="18"/>
      <c r="S289" s="18"/>
    </row>
    <row r="290" spans="1:19" x14ac:dyDescent="0.25">
      <c r="A290" s="9" t="s">
        <v>569</v>
      </c>
      <c r="B290" s="17" t="s">
        <v>570</v>
      </c>
      <c r="C290" s="18">
        <f t="shared" si="21"/>
        <v>550849.57999999996</v>
      </c>
      <c r="D290" s="18"/>
      <c r="E290" s="18">
        <v>550849.57999999996</v>
      </c>
      <c r="F290" s="18"/>
      <c r="G290" s="18"/>
      <c r="H290" s="18"/>
      <c r="I290" s="18"/>
      <c r="J290" s="18"/>
      <c r="K290" s="18"/>
      <c r="L290" s="10"/>
      <c r="M290" s="18"/>
      <c r="N290" s="10"/>
      <c r="O290" s="18"/>
      <c r="P290" s="18"/>
      <c r="Q290" s="18"/>
      <c r="R290" s="18"/>
      <c r="S290" s="18"/>
    </row>
    <row r="291" spans="1:19" x14ac:dyDescent="0.25">
      <c r="A291" s="9" t="s">
        <v>571</v>
      </c>
      <c r="B291" s="17" t="s">
        <v>572</v>
      </c>
      <c r="C291" s="18">
        <f t="shared" si="21"/>
        <v>567952.91</v>
      </c>
      <c r="D291" s="18"/>
      <c r="E291" s="18">
        <v>567952.91</v>
      </c>
      <c r="F291" s="18"/>
      <c r="G291" s="18"/>
      <c r="H291" s="18"/>
      <c r="I291" s="18"/>
      <c r="J291" s="18"/>
      <c r="K291" s="18"/>
      <c r="L291" s="10"/>
      <c r="M291" s="18"/>
      <c r="N291" s="10"/>
      <c r="O291" s="18"/>
      <c r="P291" s="18"/>
      <c r="Q291" s="18"/>
      <c r="R291" s="18"/>
      <c r="S291" s="18"/>
    </row>
    <row r="292" spans="1:19" x14ac:dyDescent="0.25">
      <c r="A292" s="9" t="s">
        <v>573</v>
      </c>
      <c r="B292" s="17" t="s">
        <v>574</v>
      </c>
      <c r="C292" s="18">
        <f t="shared" si="21"/>
        <v>308669.32</v>
      </c>
      <c r="D292" s="18"/>
      <c r="E292" s="18">
        <v>308669.32</v>
      </c>
      <c r="F292" s="18"/>
      <c r="G292" s="18"/>
      <c r="H292" s="18"/>
      <c r="I292" s="18"/>
      <c r="J292" s="18"/>
      <c r="K292" s="18"/>
      <c r="L292" s="10"/>
      <c r="M292" s="18"/>
      <c r="N292" s="10"/>
      <c r="O292" s="18"/>
      <c r="P292" s="18"/>
      <c r="Q292" s="18"/>
      <c r="R292" s="18"/>
      <c r="S292" s="18"/>
    </row>
    <row r="293" spans="1:19" x14ac:dyDescent="0.25">
      <c r="A293" s="9" t="s">
        <v>575</v>
      </c>
      <c r="B293" s="17" t="s">
        <v>576</v>
      </c>
      <c r="C293" s="18">
        <f t="shared" si="21"/>
        <v>369331.68</v>
      </c>
      <c r="D293" s="18"/>
      <c r="E293" s="18">
        <v>369331.68</v>
      </c>
      <c r="F293" s="18"/>
      <c r="G293" s="18"/>
      <c r="H293" s="18"/>
      <c r="I293" s="18"/>
      <c r="J293" s="18"/>
      <c r="K293" s="18"/>
      <c r="L293" s="10"/>
      <c r="M293" s="18"/>
      <c r="N293" s="10"/>
      <c r="O293" s="18"/>
      <c r="P293" s="18"/>
      <c r="Q293" s="18"/>
      <c r="R293" s="18"/>
      <c r="S293" s="18"/>
    </row>
    <row r="294" spans="1:19" x14ac:dyDescent="0.25">
      <c r="A294" s="9" t="s">
        <v>577</v>
      </c>
      <c r="B294" s="17" t="s">
        <v>578</v>
      </c>
      <c r="C294" s="18">
        <f t="shared" si="21"/>
        <v>53254624.640000001</v>
      </c>
      <c r="D294" s="18">
        <v>1085880.3</v>
      </c>
      <c r="E294" s="18">
        <v>716242.25</v>
      </c>
      <c r="F294" s="18">
        <v>6650548.3200000003</v>
      </c>
      <c r="G294" s="18">
        <v>8383799.8399999999</v>
      </c>
      <c r="H294" s="18"/>
      <c r="I294" s="18"/>
      <c r="J294" s="18">
        <v>2587006.62</v>
      </c>
      <c r="K294" s="18"/>
      <c r="L294" s="10">
        <v>6</v>
      </c>
      <c r="M294" s="18">
        <v>23372392.030000001</v>
      </c>
      <c r="N294" s="10"/>
      <c r="O294" s="18"/>
      <c r="P294" s="18">
        <v>10458755.279999999</v>
      </c>
      <c r="Q294" s="18"/>
      <c r="R294" s="18"/>
      <c r="S294" s="18"/>
    </row>
    <row r="295" spans="1:19" x14ac:dyDescent="0.25">
      <c r="A295" s="9" t="s">
        <v>579</v>
      </c>
      <c r="B295" s="17" t="s">
        <v>580</v>
      </c>
      <c r="C295" s="18">
        <f t="shared" si="21"/>
        <v>413127.72</v>
      </c>
      <c r="D295" s="18"/>
      <c r="E295" s="18">
        <v>413127.72</v>
      </c>
      <c r="F295" s="18"/>
      <c r="G295" s="18"/>
      <c r="H295" s="18"/>
      <c r="I295" s="18"/>
      <c r="J295" s="18"/>
      <c r="K295" s="18"/>
      <c r="L295" s="10"/>
      <c r="M295" s="18"/>
      <c r="N295" s="10"/>
      <c r="O295" s="18"/>
      <c r="P295" s="18"/>
      <c r="Q295" s="18"/>
      <c r="R295" s="18"/>
      <c r="S295" s="18"/>
    </row>
    <row r="296" spans="1:19" x14ac:dyDescent="0.25">
      <c r="A296" s="9" t="s">
        <v>581</v>
      </c>
      <c r="B296" s="17" t="s">
        <v>582</v>
      </c>
      <c r="C296" s="18">
        <f t="shared" si="21"/>
        <v>75885897.239999995</v>
      </c>
      <c r="D296" s="18">
        <v>1537554.29</v>
      </c>
      <c r="E296" s="18">
        <v>1173739.43</v>
      </c>
      <c r="F296" s="18">
        <v>7504778.2300000004</v>
      </c>
      <c r="G296" s="18">
        <v>9173614.7300000004</v>
      </c>
      <c r="H296" s="18"/>
      <c r="I296" s="18"/>
      <c r="J296" s="18">
        <v>2748456.08</v>
      </c>
      <c r="K296" s="18"/>
      <c r="L296" s="10">
        <v>6</v>
      </c>
      <c r="M296" s="18">
        <v>23372187.219999999</v>
      </c>
      <c r="N296" s="10" t="s">
        <v>552</v>
      </c>
      <c r="O296" s="18">
        <v>19377691.34</v>
      </c>
      <c r="P296" s="18">
        <v>10997875.92</v>
      </c>
      <c r="Q296" s="18"/>
      <c r="R296" s="18"/>
      <c r="S296" s="18"/>
    </row>
    <row r="297" spans="1:19" x14ac:dyDescent="0.25">
      <c r="A297" s="9" t="s">
        <v>583</v>
      </c>
      <c r="B297" s="17" t="s">
        <v>584</v>
      </c>
      <c r="C297" s="18">
        <f t="shared" si="21"/>
        <v>268759.78000000003</v>
      </c>
      <c r="D297" s="18"/>
      <c r="E297" s="18">
        <v>268759.78000000003</v>
      </c>
      <c r="F297" s="18"/>
      <c r="G297" s="18"/>
      <c r="H297" s="18"/>
      <c r="I297" s="18"/>
      <c r="J297" s="18"/>
      <c r="K297" s="18"/>
      <c r="L297" s="10"/>
      <c r="M297" s="18"/>
      <c r="N297" s="10"/>
      <c r="O297" s="18"/>
      <c r="P297" s="18"/>
      <c r="Q297" s="18"/>
      <c r="R297" s="18"/>
      <c r="S297" s="18"/>
    </row>
    <row r="298" spans="1:19" x14ac:dyDescent="0.25">
      <c r="A298" s="9" t="s">
        <v>585</v>
      </c>
      <c r="B298" s="17" t="s">
        <v>586</v>
      </c>
      <c r="C298" s="18">
        <f t="shared" si="21"/>
        <v>336363.66</v>
      </c>
      <c r="D298" s="18"/>
      <c r="E298" s="18">
        <v>336363.66</v>
      </c>
      <c r="F298" s="18"/>
      <c r="G298" s="18"/>
      <c r="H298" s="18"/>
      <c r="I298" s="18"/>
      <c r="J298" s="18"/>
      <c r="K298" s="18"/>
      <c r="L298" s="10"/>
      <c r="M298" s="18"/>
      <c r="N298" s="10"/>
      <c r="O298" s="18"/>
      <c r="P298" s="18"/>
      <c r="Q298" s="18"/>
      <c r="R298" s="18"/>
      <c r="S298" s="18"/>
    </row>
    <row r="299" spans="1:19" x14ac:dyDescent="0.25">
      <c r="A299" s="9" t="s">
        <v>587</v>
      </c>
      <c r="B299" s="17" t="s">
        <v>588</v>
      </c>
      <c r="C299" s="18">
        <f t="shared" si="21"/>
        <v>887946.55</v>
      </c>
      <c r="D299" s="18"/>
      <c r="E299" s="18">
        <v>887946.55</v>
      </c>
      <c r="F299" s="18"/>
      <c r="G299" s="18"/>
      <c r="H299" s="18"/>
      <c r="I299" s="18"/>
      <c r="J299" s="18"/>
      <c r="K299" s="18"/>
      <c r="L299" s="10"/>
      <c r="M299" s="18"/>
      <c r="N299" s="10"/>
      <c r="O299" s="18"/>
      <c r="P299" s="18"/>
      <c r="Q299" s="18"/>
      <c r="R299" s="18"/>
      <c r="S299" s="18"/>
    </row>
    <row r="300" spans="1:19" x14ac:dyDescent="0.25">
      <c r="A300" s="9" t="s">
        <v>589</v>
      </c>
      <c r="B300" s="17" t="s">
        <v>590</v>
      </c>
      <c r="C300" s="18">
        <f t="shared" si="21"/>
        <v>831631.1</v>
      </c>
      <c r="D300" s="18"/>
      <c r="E300" s="18">
        <v>831631.1</v>
      </c>
      <c r="F300" s="18"/>
      <c r="G300" s="18"/>
      <c r="H300" s="18"/>
      <c r="I300" s="18"/>
      <c r="J300" s="18"/>
      <c r="K300" s="18"/>
      <c r="L300" s="10"/>
      <c r="M300" s="18"/>
      <c r="N300" s="10"/>
      <c r="O300" s="18"/>
      <c r="P300" s="18"/>
      <c r="Q300" s="18"/>
      <c r="R300" s="18"/>
      <c r="S300" s="18"/>
    </row>
    <row r="301" spans="1:19" x14ac:dyDescent="0.25">
      <c r="A301" s="9" t="s">
        <v>591</v>
      </c>
      <c r="B301" s="17" t="s">
        <v>592</v>
      </c>
      <c r="C301" s="18">
        <f t="shared" si="21"/>
        <v>974675.37</v>
      </c>
      <c r="D301" s="18"/>
      <c r="E301" s="18">
        <v>974675.37</v>
      </c>
      <c r="F301" s="18"/>
      <c r="G301" s="18"/>
      <c r="H301" s="18"/>
      <c r="I301" s="18"/>
      <c r="J301" s="18"/>
      <c r="K301" s="18"/>
      <c r="L301" s="10"/>
      <c r="M301" s="18"/>
      <c r="N301" s="10"/>
      <c r="O301" s="18"/>
      <c r="P301" s="18"/>
      <c r="Q301" s="18"/>
      <c r="R301" s="18"/>
      <c r="S301" s="18"/>
    </row>
    <row r="302" spans="1:19" x14ac:dyDescent="0.25">
      <c r="A302" s="9" t="s">
        <v>593</v>
      </c>
      <c r="B302" s="17" t="s">
        <v>594</v>
      </c>
      <c r="C302" s="18">
        <f t="shared" si="21"/>
        <v>42912954.75</v>
      </c>
      <c r="D302" s="18">
        <v>870620.45</v>
      </c>
      <c r="E302" s="18">
        <v>708518.07</v>
      </c>
      <c r="F302" s="18">
        <v>6015435.5800000001</v>
      </c>
      <c r="G302" s="18">
        <v>9712875.6500000004</v>
      </c>
      <c r="H302" s="18"/>
      <c r="I302" s="18"/>
      <c r="J302" s="18">
        <v>2233317.7799999998</v>
      </c>
      <c r="K302" s="18"/>
      <c r="L302" s="10">
        <v>6</v>
      </c>
      <c r="M302" s="18">
        <v>23372187.219999999</v>
      </c>
      <c r="N302" s="10"/>
      <c r="O302" s="18"/>
      <c r="P302" s="18"/>
      <c r="Q302" s="18"/>
      <c r="R302" s="18"/>
      <c r="S302" s="18"/>
    </row>
    <row r="303" spans="1:19" x14ac:dyDescent="0.25">
      <c r="A303" s="9" t="s">
        <v>595</v>
      </c>
      <c r="B303" s="17" t="s">
        <v>596</v>
      </c>
      <c r="C303" s="18">
        <f t="shared" si="21"/>
        <v>760331.42</v>
      </c>
      <c r="D303" s="18"/>
      <c r="E303" s="18">
        <v>760331.42</v>
      </c>
      <c r="F303" s="18"/>
      <c r="G303" s="18"/>
      <c r="H303" s="18"/>
      <c r="I303" s="18"/>
      <c r="J303" s="18"/>
      <c r="K303" s="18"/>
      <c r="L303" s="10"/>
      <c r="M303" s="18"/>
      <c r="N303" s="10"/>
      <c r="O303" s="18"/>
      <c r="P303" s="18"/>
      <c r="Q303" s="18"/>
      <c r="R303" s="18"/>
      <c r="S303" s="18"/>
    </row>
    <row r="304" spans="1:19" x14ac:dyDescent="0.25">
      <c r="A304" s="9" t="s">
        <v>597</v>
      </c>
      <c r="B304" s="22" t="s">
        <v>598</v>
      </c>
      <c r="C304" s="18">
        <f t="shared" si="21"/>
        <v>721366.98</v>
      </c>
      <c r="D304" s="18"/>
      <c r="E304" s="18">
        <v>721366.98</v>
      </c>
      <c r="F304" s="18"/>
      <c r="G304" s="18"/>
      <c r="H304" s="18"/>
      <c r="I304" s="18"/>
      <c r="J304" s="18"/>
      <c r="K304" s="18"/>
      <c r="L304" s="10"/>
      <c r="M304" s="18"/>
      <c r="N304" s="10"/>
      <c r="O304" s="18"/>
      <c r="P304" s="18"/>
      <c r="Q304" s="18"/>
      <c r="R304" s="18"/>
      <c r="S304" s="18"/>
    </row>
    <row r="305" spans="1:19" x14ac:dyDescent="0.25">
      <c r="A305" s="9" t="s">
        <v>599</v>
      </c>
      <c r="B305" s="17" t="s">
        <v>600</v>
      </c>
      <c r="C305" s="18">
        <f t="shared" si="21"/>
        <v>23973153.289999999</v>
      </c>
      <c r="D305" s="18">
        <v>488217.37</v>
      </c>
      <c r="E305" s="18">
        <v>112748.7</v>
      </c>
      <c r="F305" s="18"/>
      <c r="G305" s="18"/>
      <c r="H305" s="18"/>
      <c r="I305" s="18"/>
      <c r="J305" s="18"/>
      <c r="K305" s="18"/>
      <c r="L305" s="10">
        <v>6</v>
      </c>
      <c r="M305" s="18">
        <v>23372187.219999999</v>
      </c>
      <c r="N305" s="10"/>
      <c r="O305" s="18"/>
      <c r="P305" s="18"/>
      <c r="Q305" s="18"/>
      <c r="R305" s="18"/>
      <c r="S305" s="18"/>
    </row>
    <row r="306" spans="1:19" x14ac:dyDescent="0.25">
      <c r="A306" s="9" t="s">
        <v>601</v>
      </c>
      <c r="B306" s="17" t="s">
        <v>602</v>
      </c>
      <c r="C306" s="18">
        <f t="shared" si="21"/>
        <v>579530.78</v>
      </c>
      <c r="D306" s="18"/>
      <c r="E306" s="18">
        <v>579530.78</v>
      </c>
      <c r="F306" s="18"/>
      <c r="G306" s="18"/>
      <c r="H306" s="18"/>
      <c r="I306" s="18"/>
      <c r="J306" s="18"/>
      <c r="K306" s="18"/>
      <c r="L306" s="10"/>
      <c r="M306" s="18"/>
      <c r="N306" s="10"/>
      <c r="O306" s="18"/>
      <c r="P306" s="18"/>
      <c r="Q306" s="18"/>
      <c r="R306" s="18"/>
      <c r="S306" s="18"/>
    </row>
    <row r="307" spans="1:19" x14ac:dyDescent="0.25">
      <c r="A307" s="9" t="s">
        <v>603</v>
      </c>
      <c r="B307" s="17" t="s">
        <v>604</v>
      </c>
      <c r="C307" s="18">
        <f t="shared" si="21"/>
        <v>58878097.210000001</v>
      </c>
      <c r="D307" s="18">
        <v>1179360.42</v>
      </c>
      <c r="E307" s="18">
        <v>758159.74</v>
      </c>
      <c r="F307" s="18"/>
      <c r="G307" s="18"/>
      <c r="H307" s="18"/>
      <c r="I307" s="18"/>
      <c r="J307" s="18">
        <v>1513547.87</v>
      </c>
      <c r="K307" s="18"/>
      <c r="L307" s="10">
        <v>6</v>
      </c>
      <c r="M307" s="18">
        <v>22643061.609999999</v>
      </c>
      <c r="N307" s="10"/>
      <c r="O307" s="18"/>
      <c r="P307" s="18">
        <v>10662181.09</v>
      </c>
      <c r="Q307" s="18">
        <v>22121786.48</v>
      </c>
      <c r="R307" s="18"/>
      <c r="S307" s="18"/>
    </row>
    <row r="308" spans="1:19" x14ac:dyDescent="0.25">
      <c r="A308" s="9" t="s">
        <v>605</v>
      </c>
      <c r="B308" s="17" t="s">
        <v>606</v>
      </c>
      <c r="C308" s="18">
        <f t="shared" si="21"/>
        <v>506988.37</v>
      </c>
      <c r="D308" s="18"/>
      <c r="E308" s="18">
        <v>506988.37</v>
      </c>
      <c r="F308" s="18"/>
      <c r="G308" s="18"/>
      <c r="H308" s="18"/>
      <c r="I308" s="18"/>
      <c r="J308" s="18"/>
      <c r="K308" s="18"/>
      <c r="L308" s="10"/>
      <c r="M308" s="18"/>
      <c r="N308" s="10"/>
      <c r="O308" s="18"/>
      <c r="P308" s="18"/>
      <c r="Q308" s="18"/>
      <c r="R308" s="18"/>
      <c r="S308" s="18"/>
    </row>
    <row r="309" spans="1:19" x14ac:dyDescent="0.25">
      <c r="A309" s="9" t="s">
        <v>607</v>
      </c>
      <c r="B309" s="17" t="s">
        <v>608</v>
      </c>
      <c r="C309" s="18">
        <f t="shared" si="21"/>
        <v>1366928.24</v>
      </c>
      <c r="D309" s="18"/>
      <c r="E309" s="18">
        <v>1366928.24</v>
      </c>
      <c r="F309" s="18"/>
      <c r="G309" s="18"/>
      <c r="H309" s="18"/>
      <c r="I309" s="18"/>
      <c r="J309" s="18"/>
      <c r="K309" s="18"/>
      <c r="L309" s="10"/>
      <c r="M309" s="18"/>
      <c r="N309" s="10"/>
      <c r="O309" s="18"/>
      <c r="P309" s="18"/>
      <c r="Q309" s="18"/>
      <c r="R309" s="18"/>
      <c r="S309" s="18"/>
    </row>
    <row r="310" spans="1:19" x14ac:dyDescent="0.25">
      <c r="A310" s="9" t="s">
        <v>609</v>
      </c>
      <c r="B310" s="17" t="s">
        <v>610</v>
      </c>
      <c r="C310" s="18">
        <f t="shared" si="21"/>
        <v>806906.59</v>
      </c>
      <c r="D310" s="18"/>
      <c r="E310" s="18">
        <v>806906.59</v>
      </c>
      <c r="F310" s="18"/>
      <c r="G310" s="18"/>
      <c r="H310" s="18"/>
      <c r="I310" s="18"/>
      <c r="J310" s="18"/>
      <c r="K310" s="18"/>
      <c r="L310" s="10"/>
      <c r="M310" s="18"/>
      <c r="N310" s="10"/>
      <c r="O310" s="18"/>
      <c r="P310" s="18"/>
      <c r="Q310" s="18"/>
      <c r="R310" s="18"/>
      <c r="S310" s="18"/>
    </row>
    <row r="311" spans="1:19" x14ac:dyDescent="0.25">
      <c r="A311" s="9" t="s">
        <v>611</v>
      </c>
      <c r="B311" s="17" t="s">
        <v>612</v>
      </c>
      <c r="C311" s="18">
        <f t="shared" si="21"/>
        <v>901477.9</v>
      </c>
      <c r="D311" s="18"/>
      <c r="E311" s="18">
        <v>901477.9</v>
      </c>
      <c r="F311" s="18"/>
      <c r="G311" s="18"/>
      <c r="H311" s="18"/>
      <c r="I311" s="18"/>
      <c r="J311" s="18"/>
      <c r="K311" s="18"/>
      <c r="L311" s="10"/>
      <c r="M311" s="18"/>
      <c r="N311" s="10"/>
      <c r="O311" s="18"/>
      <c r="P311" s="18"/>
      <c r="Q311" s="18"/>
      <c r="R311" s="18"/>
      <c r="S311" s="18"/>
    </row>
    <row r="312" spans="1:19" x14ac:dyDescent="0.25">
      <c r="A312" s="9" t="s">
        <v>613</v>
      </c>
      <c r="B312" s="17" t="s">
        <v>614</v>
      </c>
      <c r="C312" s="18">
        <f t="shared" ref="C312:C343" si="22">ROUNDUP(SUM(D312+E312+F312+G312+H312+I312+J312+K312+M312+O312+P312+Q312+R312+S312),2)</f>
        <v>6179188.4800000004</v>
      </c>
      <c r="D312" s="18">
        <v>117139.27</v>
      </c>
      <c r="E312" s="18">
        <v>401711.73</v>
      </c>
      <c r="F312" s="18"/>
      <c r="G312" s="18"/>
      <c r="H312" s="18"/>
      <c r="I312" s="18"/>
      <c r="J312" s="18"/>
      <c r="K312" s="18"/>
      <c r="L312" s="10">
        <v>3</v>
      </c>
      <c r="M312" s="18">
        <v>5660337.4800000004</v>
      </c>
      <c r="N312" s="10"/>
      <c r="O312" s="18"/>
      <c r="P312" s="18"/>
      <c r="Q312" s="18"/>
      <c r="R312" s="18"/>
      <c r="S312" s="18"/>
    </row>
    <row r="313" spans="1:19" x14ac:dyDescent="0.25">
      <c r="A313" s="9" t="s">
        <v>615</v>
      </c>
      <c r="B313" s="17" t="s">
        <v>616</v>
      </c>
      <c r="C313" s="18">
        <f t="shared" si="22"/>
        <v>34601001.890000001</v>
      </c>
      <c r="D313" s="18">
        <v>683632.79</v>
      </c>
      <c r="E313" s="18">
        <v>1378347.88</v>
      </c>
      <c r="F313" s="18">
        <v>4029201.96</v>
      </c>
      <c r="G313" s="18">
        <v>8138539.5700000003</v>
      </c>
      <c r="H313" s="18">
        <v>3702322.62</v>
      </c>
      <c r="I313" s="18">
        <v>2118242.7000000002</v>
      </c>
      <c r="J313" s="18">
        <v>2983746.78</v>
      </c>
      <c r="K313" s="18"/>
      <c r="L313" s="10">
        <v>2</v>
      </c>
      <c r="M313" s="18">
        <v>11566967.59</v>
      </c>
      <c r="N313" s="10"/>
      <c r="O313" s="18"/>
      <c r="P313" s="18"/>
      <c r="Q313" s="18"/>
      <c r="R313" s="18"/>
      <c r="S313" s="18"/>
    </row>
    <row r="314" spans="1:19" x14ac:dyDescent="0.25">
      <c r="A314" s="9" t="s">
        <v>617</v>
      </c>
      <c r="B314" s="17" t="s">
        <v>618</v>
      </c>
      <c r="C314" s="18">
        <f t="shared" si="22"/>
        <v>30524269.920000002</v>
      </c>
      <c r="D314" s="18">
        <v>616576.52</v>
      </c>
      <c r="E314" s="18">
        <v>461117.38</v>
      </c>
      <c r="F314" s="18">
        <v>3988763.87</v>
      </c>
      <c r="G314" s="18"/>
      <c r="H314" s="18"/>
      <c r="I314" s="18"/>
      <c r="J314" s="18"/>
      <c r="K314" s="18"/>
      <c r="L314" s="10">
        <v>4</v>
      </c>
      <c r="M314" s="18">
        <v>15902271.85</v>
      </c>
      <c r="N314" s="10"/>
      <c r="O314" s="18"/>
      <c r="P314" s="18">
        <v>9555540.3000000007</v>
      </c>
      <c r="Q314" s="18"/>
      <c r="R314" s="18"/>
      <c r="S314" s="18"/>
    </row>
    <row r="315" spans="1:19" x14ac:dyDescent="0.25">
      <c r="A315" s="9" t="s">
        <v>619</v>
      </c>
      <c r="B315" s="17" t="s">
        <v>620</v>
      </c>
      <c r="C315" s="18">
        <f t="shared" si="22"/>
        <v>537223.93000000005</v>
      </c>
      <c r="D315" s="18"/>
      <c r="E315" s="18">
        <v>537223.93000000005</v>
      </c>
      <c r="F315" s="18"/>
      <c r="G315" s="18"/>
      <c r="H315" s="18"/>
      <c r="I315" s="18"/>
      <c r="J315" s="18"/>
      <c r="K315" s="18"/>
      <c r="L315" s="10"/>
      <c r="M315" s="18"/>
      <c r="N315" s="10"/>
      <c r="O315" s="18"/>
      <c r="P315" s="18"/>
      <c r="Q315" s="18"/>
      <c r="R315" s="18"/>
      <c r="S315" s="18"/>
    </row>
    <row r="316" spans="1:19" x14ac:dyDescent="0.25">
      <c r="A316" s="9" t="s">
        <v>621</v>
      </c>
      <c r="B316" s="17" t="s">
        <v>622</v>
      </c>
      <c r="C316" s="18">
        <f t="shared" si="22"/>
        <v>717291.18</v>
      </c>
      <c r="D316" s="18"/>
      <c r="E316" s="18">
        <v>717291.18</v>
      </c>
      <c r="F316" s="18"/>
      <c r="G316" s="18"/>
      <c r="H316" s="18"/>
      <c r="I316" s="18"/>
      <c r="J316" s="18"/>
      <c r="K316" s="18"/>
      <c r="L316" s="10"/>
      <c r="M316" s="18"/>
      <c r="N316" s="10"/>
      <c r="O316" s="18"/>
      <c r="P316" s="18"/>
      <c r="Q316" s="18"/>
      <c r="R316" s="18"/>
      <c r="S316" s="18"/>
    </row>
    <row r="317" spans="1:19" x14ac:dyDescent="0.25">
      <c r="A317" s="9" t="s">
        <v>623</v>
      </c>
      <c r="B317" s="17" t="s">
        <v>624</v>
      </c>
      <c r="C317" s="18">
        <f t="shared" si="22"/>
        <v>686295.15</v>
      </c>
      <c r="D317" s="18"/>
      <c r="E317" s="18">
        <v>686295.15</v>
      </c>
      <c r="F317" s="18"/>
      <c r="G317" s="18"/>
      <c r="H317" s="18"/>
      <c r="I317" s="18"/>
      <c r="J317" s="18"/>
      <c r="K317" s="18"/>
      <c r="L317" s="10"/>
      <c r="M317" s="18"/>
      <c r="N317" s="10"/>
      <c r="O317" s="18"/>
      <c r="P317" s="18"/>
      <c r="Q317" s="18"/>
      <c r="R317" s="18"/>
      <c r="S317" s="18"/>
    </row>
    <row r="318" spans="1:19" x14ac:dyDescent="0.25">
      <c r="A318" s="9" t="s">
        <v>625</v>
      </c>
      <c r="B318" s="17" t="s">
        <v>626</v>
      </c>
      <c r="C318" s="18">
        <f t="shared" si="22"/>
        <v>738113.69</v>
      </c>
      <c r="D318" s="18"/>
      <c r="E318" s="18">
        <v>738113.69</v>
      </c>
      <c r="F318" s="18"/>
      <c r="G318" s="18"/>
      <c r="H318" s="18"/>
      <c r="I318" s="18"/>
      <c r="J318" s="18"/>
      <c r="K318" s="18"/>
      <c r="L318" s="10"/>
      <c r="M318" s="18"/>
      <c r="N318" s="10"/>
      <c r="O318" s="18"/>
      <c r="P318" s="18"/>
      <c r="Q318" s="18"/>
      <c r="R318" s="18"/>
      <c r="S318" s="18"/>
    </row>
    <row r="319" spans="1:19" x14ac:dyDescent="0.25">
      <c r="A319" s="9" t="s">
        <v>627</v>
      </c>
      <c r="B319" s="17" t="s">
        <v>628</v>
      </c>
      <c r="C319" s="18">
        <f t="shared" si="22"/>
        <v>693132.96</v>
      </c>
      <c r="D319" s="18"/>
      <c r="E319" s="18">
        <v>693132.96</v>
      </c>
      <c r="F319" s="18"/>
      <c r="G319" s="18"/>
      <c r="H319" s="18"/>
      <c r="I319" s="18"/>
      <c r="J319" s="18"/>
      <c r="K319" s="18"/>
      <c r="L319" s="10"/>
      <c r="M319" s="18"/>
      <c r="N319" s="10"/>
      <c r="O319" s="18"/>
      <c r="P319" s="18"/>
      <c r="Q319" s="18"/>
      <c r="R319" s="18"/>
      <c r="S319" s="18"/>
    </row>
    <row r="320" spans="1:19" x14ac:dyDescent="0.25">
      <c r="A320" s="9" t="s">
        <v>629</v>
      </c>
      <c r="B320" s="17" t="s">
        <v>630</v>
      </c>
      <c r="C320" s="18">
        <f t="shared" si="22"/>
        <v>690314.31</v>
      </c>
      <c r="D320" s="18"/>
      <c r="E320" s="18">
        <v>690314.31</v>
      </c>
      <c r="F320" s="18"/>
      <c r="G320" s="18"/>
      <c r="H320" s="18"/>
      <c r="I320" s="18"/>
      <c r="J320" s="18"/>
      <c r="K320" s="18"/>
      <c r="L320" s="10"/>
      <c r="M320" s="18"/>
      <c r="N320" s="10"/>
      <c r="O320" s="18"/>
      <c r="P320" s="18"/>
      <c r="Q320" s="18"/>
      <c r="R320" s="18"/>
      <c r="S320" s="18"/>
    </row>
    <row r="321" spans="1:19" x14ac:dyDescent="0.25">
      <c r="A321" s="9" t="s">
        <v>631</v>
      </c>
      <c r="B321" s="17" t="s">
        <v>632</v>
      </c>
      <c r="C321" s="18">
        <f t="shared" si="22"/>
        <v>246470.2</v>
      </c>
      <c r="D321" s="18"/>
      <c r="E321" s="18">
        <v>246470.2</v>
      </c>
      <c r="F321" s="18"/>
      <c r="G321" s="18"/>
      <c r="H321" s="18"/>
      <c r="I321" s="18"/>
      <c r="J321" s="18"/>
      <c r="K321" s="18"/>
      <c r="L321" s="10"/>
      <c r="M321" s="18"/>
      <c r="N321" s="10"/>
      <c r="O321" s="18"/>
      <c r="P321" s="18"/>
      <c r="Q321" s="18"/>
      <c r="R321" s="18"/>
      <c r="S321" s="18"/>
    </row>
    <row r="322" spans="1:19" x14ac:dyDescent="0.25">
      <c r="A322" s="9" t="s">
        <v>633</v>
      </c>
      <c r="B322" s="23" t="s">
        <v>634</v>
      </c>
      <c r="C322" s="18">
        <f t="shared" si="22"/>
        <v>971969.05</v>
      </c>
      <c r="D322" s="18"/>
      <c r="E322" s="18">
        <v>971969.05</v>
      </c>
      <c r="F322" s="18"/>
      <c r="G322" s="18"/>
      <c r="H322" s="18"/>
      <c r="I322" s="18"/>
      <c r="J322" s="18"/>
      <c r="K322" s="18"/>
      <c r="L322" s="10"/>
      <c r="M322" s="18"/>
      <c r="N322" s="10"/>
      <c r="O322" s="18"/>
      <c r="P322" s="18"/>
      <c r="Q322" s="18"/>
      <c r="R322" s="18"/>
      <c r="S322" s="18"/>
    </row>
    <row r="323" spans="1:19" x14ac:dyDescent="0.25">
      <c r="A323" s="9" t="s">
        <v>635</v>
      </c>
      <c r="B323" s="17" t="s">
        <v>636</v>
      </c>
      <c r="C323" s="18">
        <f t="shared" si="22"/>
        <v>597000.28</v>
      </c>
      <c r="D323" s="18"/>
      <c r="E323" s="18">
        <v>597000.28</v>
      </c>
      <c r="F323" s="18"/>
      <c r="G323" s="18"/>
      <c r="H323" s="18"/>
      <c r="I323" s="18"/>
      <c r="J323" s="18"/>
      <c r="K323" s="18"/>
      <c r="L323" s="10"/>
      <c r="M323" s="18"/>
      <c r="N323" s="10"/>
      <c r="O323" s="18"/>
      <c r="P323" s="18"/>
      <c r="Q323" s="18"/>
      <c r="R323" s="18"/>
      <c r="S323" s="18"/>
    </row>
    <row r="324" spans="1:19" x14ac:dyDescent="0.25">
      <c r="A324" s="9" t="s">
        <v>637</v>
      </c>
      <c r="B324" s="17" t="s">
        <v>638</v>
      </c>
      <c r="C324" s="18">
        <f t="shared" si="22"/>
        <v>599276.9</v>
      </c>
      <c r="D324" s="18"/>
      <c r="E324" s="18">
        <v>599276.9</v>
      </c>
      <c r="F324" s="18"/>
      <c r="G324" s="18"/>
      <c r="H324" s="18"/>
      <c r="I324" s="18"/>
      <c r="J324" s="18"/>
      <c r="K324" s="18"/>
      <c r="L324" s="10"/>
      <c r="M324" s="18"/>
      <c r="N324" s="10"/>
      <c r="O324" s="18"/>
      <c r="P324" s="18"/>
      <c r="Q324" s="18"/>
      <c r="R324" s="18"/>
      <c r="S324" s="18"/>
    </row>
    <row r="325" spans="1:19" x14ac:dyDescent="0.2">
      <c r="A325" s="9" t="s">
        <v>639</v>
      </c>
      <c r="B325" s="24" t="s">
        <v>640</v>
      </c>
      <c r="C325" s="18">
        <f t="shared" si="22"/>
        <v>597992.69999999995</v>
      </c>
      <c r="D325" s="3">
        <v>12345.44</v>
      </c>
      <c r="E325" s="25"/>
      <c r="F325" s="26"/>
      <c r="G325" s="18">
        <v>585647.26</v>
      </c>
      <c r="H325" s="27"/>
      <c r="I325" s="27"/>
      <c r="J325" s="27"/>
      <c r="K325" s="25"/>
      <c r="L325" s="28"/>
      <c r="M325" s="25"/>
      <c r="N325" s="25"/>
      <c r="O325" s="26"/>
      <c r="P325" s="25"/>
      <c r="Q325" s="29"/>
      <c r="R325" s="25"/>
      <c r="S325" s="25"/>
    </row>
    <row r="326" spans="1:19" x14ac:dyDescent="0.25">
      <c r="A326" s="9" t="s">
        <v>641</v>
      </c>
      <c r="B326" s="17" t="s">
        <v>642</v>
      </c>
      <c r="C326" s="18">
        <f t="shared" si="22"/>
        <v>66240894.509999998</v>
      </c>
      <c r="D326" s="18">
        <v>1309687.27</v>
      </c>
      <c r="E326" s="18">
        <v>2707362.11</v>
      </c>
      <c r="F326" s="18"/>
      <c r="G326" s="18">
        <v>7421048.2400000002</v>
      </c>
      <c r="H326" s="18">
        <v>3328507.63</v>
      </c>
      <c r="I326" s="18">
        <v>1941110.18</v>
      </c>
      <c r="J326" s="18">
        <v>2566329.84</v>
      </c>
      <c r="K326" s="18"/>
      <c r="L326" s="10">
        <v>3</v>
      </c>
      <c r="M326" s="18">
        <v>16855956.899999999</v>
      </c>
      <c r="N326" s="10" t="s">
        <v>552</v>
      </c>
      <c r="O326" s="18">
        <v>7797211.2000000002</v>
      </c>
      <c r="P326" s="18">
        <v>4144255.2</v>
      </c>
      <c r="Q326" s="18">
        <v>18169425.940000001</v>
      </c>
      <c r="R326" s="18"/>
      <c r="S326" s="18"/>
    </row>
    <row r="327" spans="1:19" x14ac:dyDescent="0.25">
      <c r="A327" s="9" t="s">
        <v>643</v>
      </c>
      <c r="B327" s="17" t="s">
        <v>644</v>
      </c>
      <c r="C327" s="18">
        <f t="shared" si="22"/>
        <v>51412858.060000002</v>
      </c>
      <c r="D327" s="18">
        <v>1023256.03</v>
      </c>
      <c r="E327" s="18">
        <v>1853954.07</v>
      </c>
      <c r="F327" s="18"/>
      <c r="G327" s="18"/>
      <c r="H327" s="18"/>
      <c r="I327" s="18"/>
      <c r="J327" s="18">
        <v>916586.82</v>
      </c>
      <c r="K327" s="18"/>
      <c r="L327" s="10">
        <v>3</v>
      </c>
      <c r="M327" s="18">
        <v>16855956.899999999</v>
      </c>
      <c r="N327" s="10" t="s">
        <v>552</v>
      </c>
      <c r="O327" s="18">
        <v>8369543.8099999996</v>
      </c>
      <c r="P327" s="18">
        <v>4786189.87</v>
      </c>
      <c r="Q327" s="18">
        <v>17607370.559999999</v>
      </c>
      <c r="R327" s="18"/>
      <c r="S327" s="18"/>
    </row>
    <row r="328" spans="1:19" x14ac:dyDescent="0.25">
      <c r="A328" s="9" t="s">
        <v>645</v>
      </c>
      <c r="B328" s="17" t="s">
        <v>646</v>
      </c>
      <c r="C328" s="18">
        <f t="shared" si="22"/>
        <v>417382.81</v>
      </c>
      <c r="D328" s="18"/>
      <c r="E328" s="18">
        <v>417382.81</v>
      </c>
      <c r="F328" s="18"/>
      <c r="G328" s="18"/>
      <c r="H328" s="18"/>
      <c r="I328" s="18"/>
      <c r="J328" s="18"/>
      <c r="K328" s="18"/>
      <c r="L328" s="10"/>
      <c r="M328" s="18"/>
      <c r="N328" s="10"/>
      <c r="O328" s="18"/>
      <c r="P328" s="18"/>
      <c r="Q328" s="18"/>
      <c r="R328" s="18"/>
      <c r="S328" s="18"/>
    </row>
    <row r="329" spans="1:19" x14ac:dyDescent="0.25">
      <c r="A329" s="9" t="s">
        <v>647</v>
      </c>
      <c r="B329" s="17" t="s">
        <v>648</v>
      </c>
      <c r="C329" s="18">
        <f t="shared" si="22"/>
        <v>760507.82</v>
      </c>
      <c r="D329" s="18"/>
      <c r="E329" s="18">
        <v>760507.82</v>
      </c>
      <c r="F329" s="18"/>
      <c r="G329" s="18"/>
      <c r="H329" s="18"/>
      <c r="I329" s="18"/>
      <c r="J329" s="18"/>
      <c r="K329" s="18"/>
      <c r="L329" s="10"/>
      <c r="M329" s="18"/>
      <c r="N329" s="10"/>
      <c r="O329" s="18"/>
      <c r="P329" s="18"/>
      <c r="Q329" s="18"/>
      <c r="R329" s="18"/>
      <c r="S329" s="18"/>
    </row>
    <row r="330" spans="1:19" x14ac:dyDescent="0.25">
      <c r="A330" s="9" t="s">
        <v>649</v>
      </c>
      <c r="B330" s="17" t="s">
        <v>650</v>
      </c>
      <c r="C330" s="18">
        <f t="shared" si="22"/>
        <v>601751.38</v>
      </c>
      <c r="D330" s="18"/>
      <c r="E330" s="18">
        <v>601751.38</v>
      </c>
      <c r="F330" s="18"/>
      <c r="G330" s="18"/>
      <c r="H330" s="18"/>
      <c r="I330" s="18"/>
      <c r="J330" s="18"/>
      <c r="K330" s="18"/>
      <c r="L330" s="10"/>
      <c r="M330" s="18"/>
      <c r="N330" s="10"/>
      <c r="O330" s="18"/>
      <c r="P330" s="18"/>
      <c r="Q330" s="18"/>
      <c r="R330" s="18"/>
      <c r="S330" s="18"/>
    </row>
    <row r="331" spans="1:19" x14ac:dyDescent="0.25">
      <c r="A331" s="9" t="s">
        <v>651</v>
      </c>
      <c r="B331" s="17" t="s">
        <v>652</v>
      </c>
      <c r="C331" s="18">
        <f t="shared" si="22"/>
        <v>504788.59</v>
      </c>
      <c r="D331" s="18"/>
      <c r="E331" s="18">
        <v>504788.59</v>
      </c>
      <c r="F331" s="18"/>
      <c r="G331" s="18"/>
      <c r="H331" s="18"/>
      <c r="I331" s="18"/>
      <c r="J331" s="18"/>
      <c r="K331" s="18"/>
      <c r="L331" s="10"/>
      <c r="M331" s="18"/>
      <c r="N331" s="10"/>
      <c r="O331" s="18"/>
      <c r="P331" s="18"/>
      <c r="Q331" s="18"/>
      <c r="R331" s="18"/>
      <c r="S331" s="18"/>
    </row>
    <row r="332" spans="1:19" x14ac:dyDescent="0.25">
      <c r="A332" s="9" t="s">
        <v>653</v>
      </c>
      <c r="B332" s="17" t="s">
        <v>654</v>
      </c>
      <c r="C332" s="18">
        <f t="shared" si="22"/>
        <v>702348.06</v>
      </c>
      <c r="D332" s="18"/>
      <c r="E332" s="18">
        <v>702348.06</v>
      </c>
      <c r="F332" s="18"/>
      <c r="G332" s="18"/>
      <c r="H332" s="18"/>
      <c r="I332" s="18"/>
      <c r="J332" s="18"/>
      <c r="K332" s="18"/>
      <c r="L332" s="10"/>
      <c r="M332" s="18"/>
      <c r="N332" s="10"/>
      <c r="O332" s="18"/>
      <c r="P332" s="18"/>
      <c r="Q332" s="18"/>
      <c r="R332" s="18"/>
      <c r="S332" s="18"/>
    </row>
    <row r="333" spans="1:19" x14ac:dyDescent="0.25">
      <c r="A333" s="9" t="s">
        <v>655</v>
      </c>
      <c r="B333" s="17" t="s">
        <v>656</v>
      </c>
      <c r="C333" s="18">
        <f t="shared" si="22"/>
        <v>615926.85</v>
      </c>
      <c r="D333" s="18"/>
      <c r="E333" s="18">
        <v>615926.85</v>
      </c>
      <c r="F333" s="18"/>
      <c r="G333" s="18"/>
      <c r="H333" s="18"/>
      <c r="I333" s="18"/>
      <c r="J333" s="18"/>
      <c r="K333" s="18"/>
      <c r="L333" s="10"/>
      <c r="M333" s="18"/>
      <c r="N333" s="10"/>
      <c r="O333" s="18"/>
      <c r="P333" s="18"/>
      <c r="Q333" s="18"/>
      <c r="R333" s="18"/>
      <c r="S333" s="18"/>
    </row>
    <row r="334" spans="1:19" x14ac:dyDescent="0.25">
      <c r="A334" s="9" t="s">
        <v>657</v>
      </c>
      <c r="B334" s="17" t="s">
        <v>658</v>
      </c>
      <c r="C334" s="18">
        <f t="shared" si="22"/>
        <v>1054483.93</v>
      </c>
      <c r="D334" s="18"/>
      <c r="E334" s="18">
        <v>1054483.93</v>
      </c>
      <c r="F334" s="18"/>
      <c r="G334" s="18"/>
      <c r="H334" s="18"/>
      <c r="I334" s="18"/>
      <c r="J334" s="18"/>
      <c r="K334" s="18"/>
      <c r="L334" s="10"/>
      <c r="M334" s="18"/>
      <c r="N334" s="10"/>
      <c r="O334" s="18"/>
      <c r="P334" s="18"/>
      <c r="Q334" s="18"/>
      <c r="R334" s="18"/>
      <c r="S334" s="18"/>
    </row>
    <row r="335" spans="1:19" x14ac:dyDescent="0.25">
      <c r="A335" s="9" t="s">
        <v>659</v>
      </c>
      <c r="B335" s="17" t="s">
        <v>660</v>
      </c>
      <c r="C335" s="18">
        <f t="shared" si="22"/>
        <v>1276514</v>
      </c>
      <c r="D335" s="18"/>
      <c r="E335" s="18">
        <v>1276514</v>
      </c>
      <c r="F335" s="18"/>
      <c r="G335" s="18"/>
      <c r="H335" s="18"/>
      <c r="I335" s="18"/>
      <c r="J335" s="18"/>
      <c r="K335" s="18"/>
      <c r="L335" s="10"/>
      <c r="M335" s="18"/>
      <c r="N335" s="10"/>
      <c r="O335" s="18"/>
      <c r="P335" s="18"/>
      <c r="Q335" s="18"/>
      <c r="R335" s="18"/>
      <c r="S335" s="18"/>
    </row>
    <row r="336" spans="1:19" x14ac:dyDescent="0.25">
      <c r="A336" s="9" t="s">
        <v>661</v>
      </c>
      <c r="B336" s="17" t="s">
        <v>662</v>
      </c>
      <c r="C336" s="18">
        <f t="shared" si="22"/>
        <v>1717281.11</v>
      </c>
      <c r="D336" s="18"/>
      <c r="E336" s="18">
        <v>1717281.11</v>
      </c>
      <c r="F336" s="18"/>
      <c r="G336" s="18"/>
      <c r="H336" s="18"/>
      <c r="I336" s="18"/>
      <c r="J336" s="18"/>
      <c r="K336" s="18"/>
      <c r="L336" s="10"/>
      <c r="M336" s="18"/>
      <c r="N336" s="10"/>
      <c r="O336" s="18"/>
      <c r="P336" s="18"/>
      <c r="Q336" s="18"/>
      <c r="R336" s="18"/>
      <c r="S336" s="18"/>
    </row>
    <row r="337" spans="1:19" x14ac:dyDescent="0.25">
      <c r="A337" s="9" t="s">
        <v>663</v>
      </c>
      <c r="B337" s="17" t="s">
        <v>664</v>
      </c>
      <c r="C337" s="18">
        <f t="shared" si="22"/>
        <v>1370402.09</v>
      </c>
      <c r="D337" s="18"/>
      <c r="E337" s="18">
        <v>1370402.09</v>
      </c>
      <c r="F337" s="18"/>
      <c r="G337" s="18"/>
      <c r="H337" s="18"/>
      <c r="I337" s="18"/>
      <c r="J337" s="18"/>
      <c r="K337" s="18"/>
      <c r="L337" s="10"/>
      <c r="M337" s="18"/>
      <c r="N337" s="10"/>
      <c r="O337" s="18"/>
      <c r="P337" s="18"/>
      <c r="Q337" s="18"/>
      <c r="R337" s="18"/>
      <c r="S337" s="18"/>
    </row>
    <row r="338" spans="1:19" x14ac:dyDescent="0.25">
      <c r="A338" s="9" t="s">
        <v>665</v>
      </c>
      <c r="B338" s="17" t="s">
        <v>666</v>
      </c>
      <c r="C338" s="18">
        <f t="shared" si="22"/>
        <v>322278.88</v>
      </c>
      <c r="D338" s="18"/>
      <c r="E338" s="18">
        <v>322278.88</v>
      </c>
      <c r="F338" s="18"/>
      <c r="G338" s="18"/>
      <c r="H338" s="18"/>
      <c r="I338" s="18"/>
      <c r="J338" s="18"/>
      <c r="K338" s="18"/>
      <c r="L338" s="10"/>
      <c r="M338" s="18"/>
      <c r="N338" s="10"/>
      <c r="O338" s="18"/>
      <c r="P338" s="18"/>
      <c r="Q338" s="18"/>
      <c r="R338" s="18"/>
      <c r="S338" s="18"/>
    </row>
    <row r="339" spans="1:19" x14ac:dyDescent="0.25">
      <c r="A339" s="9" t="s">
        <v>667</v>
      </c>
      <c r="B339" s="17" t="s">
        <v>668</v>
      </c>
      <c r="C339" s="18">
        <f t="shared" si="22"/>
        <v>2092593.96</v>
      </c>
      <c r="D339" s="18">
        <v>33131.160000000003</v>
      </c>
      <c r="E339" s="18"/>
      <c r="F339" s="18"/>
      <c r="G339" s="18">
        <v>1782945.6</v>
      </c>
      <c r="H339" s="18"/>
      <c r="I339" s="18"/>
      <c r="J339" s="18">
        <v>276517.2</v>
      </c>
      <c r="K339" s="18"/>
      <c r="L339" s="10"/>
      <c r="M339" s="18"/>
      <c r="N339" s="10"/>
      <c r="O339" s="18"/>
      <c r="P339" s="18"/>
      <c r="Q339" s="18"/>
      <c r="R339" s="18"/>
      <c r="S339" s="18"/>
    </row>
    <row r="340" spans="1:19" x14ac:dyDescent="0.25">
      <c r="A340" s="9" t="s">
        <v>669</v>
      </c>
      <c r="B340" s="17" t="s">
        <v>670</v>
      </c>
      <c r="C340" s="18">
        <f t="shared" si="22"/>
        <v>1112562.27</v>
      </c>
      <c r="D340" s="18"/>
      <c r="E340" s="18">
        <v>1112562.27</v>
      </c>
      <c r="F340" s="18"/>
      <c r="G340" s="18"/>
      <c r="H340" s="18"/>
      <c r="I340" s="18"/>
      <c r="J340" s="18"/>
      <c r="K340" s="18"/>
      <c r="L340" s="10"/>
      <c r="M340" s="18"/>
      <c r="N340" s="10"/>
      <c r="O340" s="18"/>
      <c r="P340" s="18"/>
      <c r="Q340" s="18"/>
      <c r="R340" s="18"/>
      <c r="S340" s="18"/>
    </row>
    <row r="341" spans="1:19" x14ac:dyDescent="0.25">
      <c r="A341" s="9" t="s">
        <v>671</v>
      </c>
      <c r="B341" s="17" t="s">
        <v>672</v>
      </c>
      <c r="C341" s="18">
        <f t="shared" si="22"/>
        <v>303807.35999999999</v>
      </c>
      <c r="D341" s="18"/>
      <c r="E341" s="18">
        <v>303807.35999999999</v>
      </c>
      <c r="F341" s="18"/>
      <c r="G341" s="18"/>
      <c r="H341" s="18"/>
      <c r="I341" s="18"/>
      <c r="J341" s="18"/>
      <c r="K341" s="18"/>
      <c r="L341" s="10"/>
      <c r="M341" s="18"/>
      <c r="N341" s="10"/>
      <c r="O341" s="18"/>
      <c r="P341" s="18"/>
      <c r="Q341" s="18"/>
      <c r="R341" s="18"/>
      <c r="S341" s="18"/>
    </row>
    <row r="342" spans="1:19" x14ac:dyDescent="0.25">
      <c r="A342" s="9" t="s">
        <v>673</v>
      </c>
      <c r="B342" s="17" t="s">
        <v>674</v>
      </c>
      <c r="C342" s="18">
        <f t="shared" si="22"/>
        <v>501048.07</v>
      </c>
      <c r="D342" s="18"/>
      <c r="E342" s="18">
        <v>501048.07</v>
      </c>
      <c r="F342" s="18"/>
      <c r="G342" s="18"/>
      <c r="H342" s="18"/>
      <c r="I342" s="18"/>
      <c r="J342" s="18"/>
      <c r="K342" s="18"/>
      <c r="L342" s="10"/>
      <c r="M342" s="18"/>
      <c r="N342" s="10"/>
      <c r="O342" s="18"/>
      <c r="P342" s="18"/>
      <c r="Q342" s="18"/>
      <c r="R342" s="18"/>
      <c r="S342" s="18"/>
    </row>
    <row r="343" spans="1:19" x14ac:dyDescent="0.25">
      <c r="A343" s="9" t="s">
        <v>675</v>
      </c>
      <c r="B343" s="17" t="s">
        <v>676</v>
      </c>
      <c r="C343" s="18">
        <f t="shared" si="22"/>
        <v>1302704.21</v>
      </c>
      <c r="D343" s="18"/>
      <c r="E343" s="18">
        <v>1302704.21</v>
      </c>
      <c r="F343" s="18"/>
      <c r="G343" s="18"/>
      <c r="H343" s="18"/>
      <c r="I343" s="18"/>
      <c r="J343" s="18"/>
      <c r="K343" s="18"/>
      <c r="L343" s="10"/>
      <c r="M343" s="18"/>
      <c r="N343" s="10"/>
      <c r="O343" s="18"/>
      <c r="P343" s="18"/>
      <c r="Q343" s="18"/>
      <c r="R343" s="18"/>
      <c r="S343" s="18"/>
    </row>
    <row r="344" spans="1:19" x14ac:dyDescent="0.25">
      <c r="A344" s="9" t="s">
        <v>677</v>
      </c>
      <c r="B344" s="17" t="s">
        <v>678</v>
      </c>
      <c r="C344" s="18">
        <f t="shared" ref="C344:C362" si="23">ROUNDUP(SUM(D344+E344+F344+G344+H344+I344+J344+K344+M344+O344+P344+Q344+R344+S344),2)</f>
        <v>1306159.8999999999</v>
      </c>
      <c r="D344" s="18"/>
      <c r="E344" s="18">
        <v>1306159.8999999999</v>
      </c>
      <c r="F344" s="18"/>
      <c r="G344" s="18"/>
      <c r="H344" s="18"/>
      <c r="I344" s="18"/>
      <c r="J344" s="18"/>
      <c r="K344" s="18"/>
      <c r="L344" s="10"/>
      <c r="M344" s="18"/>
      <c r="N344" s="10"/>
      <c r="O344" s="18"/>
      <c r="P344" s="18"/>
      <c r="Q344" s="18"/>
      <c r="R344" s="18"/>
      <c r="S344" s="18"/>
    </row>
    <row r="345" spans="1:19" x14ac:dyDescent="0.25">
      <c r="A345" s="9" t="s">
        <v>679</v>
      </c>
      <c r="B345" s="17" t="s">
        <v>680</v>
      </c>
      <c r="C345" s="18">
        <f t="shared" si="23"/>
        <v>657030.68999999994</v>
      </c>
      <c r="D345" s="18"/>
      <c r="E345" s="18">
        <v>657030.68999999994</v>
      </c>
      <c r="F345" s="18"/>
      <c r="G345" s="18"/>
      <c r="H345" s="18"/>
      <c r="I345" s="18"/>
      <c r="J345" s="18"/>
      <c r="K345" s="18"/>
      <c r="L345" s="10"/>
      <c r="M345" s="18"/>
      <c r="N345" s="10"/>
      <c r="O345" s="18"/>
      <c r="P345" s="18"/>
      <c r="Q345" s="18"/>
      <c r="R345" s="18"/>
      <c r="S345" s="18"/>
    </row>
    <row r="346" spans="1:19" x14ac:dyDescent="0.25">
      <c r="A346" s="9" t="s">
        <v>681</v>
      </c>
      <c r="B346" s="17" t="s">
        <v>682</v>
      </c>
      <c r="C346" s="18">
        <f t="shared" si="23"/>
        <v>44997565.170000002</v>
      </c>
      <c r="D346" s="18">
        <v>901664.1</v>
      </c>
      <c r="E346" s="18">
        <v>558833.97</v>
      </c>
      <c r="F346" s="18"/>
      <c r="G346" s="18"/>
      <c r="H346" s="18"/>
      <c r="I346" s="18"/>
      <c r="J346" s="18"/>
      <c r="K346" s="18"/>
      <c r="L346" s="10">
        <v>6</v>
      </c>
      <c r="M346" s="18">
        <v>22652914.5</v>
      </c>
      <c r="N346" s="10"/>
      <c r="O346" s="18"/>
      <c r="P346" s="18"/>
      <c r="Q346" s="18">
        <v>20884152.600000001</v>
      </c>
      <c r="R346" s="18"/>
      <c r="S346" s="18"/>
    </row>
    <row r="347" spans="1:19" x14ac:dyDescent="0.25">
      <c r="A347" s="9" t="s">
        <v>683</v>
      </c>
      <c r="B347" s="17" t="s">
        <v>684</v>
      </c>
      <c r="C347" s="18">
        <f t="shared" si="23"/>
        <v>56604470.350000001</v>
      </c>
      <c r="D347" s="18">
        <v>1131503.5</v>
      </c>
      <c r="E347" s="18">
        <v>809773.82</v>
      </c>
      <c r="F347" s="18">
        <v>7437561.04</v>
      </c>
      <c r="G347" s="18"/>
      <c r="H347" s="18"/>
      <c r="I347" s="18"/>
      <c r="J347" s="18">
        <v>2557968.1</v>
      </c>
      <c r="K347" s="18"/>
      <c r="L347" s="10">
        <v>6</v>
      </c>
      <c r="M347" s="18">
        <v>22642858.809999999</v>
      </c>
      <c r="N347" s="10"/>
      <c r="O347" s="18"/>
      <c r="P347" s="18"/>
      <c r="Q347" s="18">
        <v>22024805.079999998</v>
      </c>
      <c r="R347" s="18"/>
      <c r="S347" s="18"/>
    </row>
    <row r="348" spans="1:19" x14ac:dyDescent="0.25">
      <c r="A348" s="9" t="s">
        <v>685</v>
      </c>
      <c r="B348" s="17" t="s">
        <v>686</v>
      </c>
      <c r="C348" s="18">
        <f t="shared" si="23"/>
        <v>52746022.100000001</v>
      </c>
      <c r="D348" s="18">
        <v>1058331.8400000001</v>
      </c>
      <c r="E348" s="18">
        <v>645549.79</v>
      </c>
      <c r="F348" s="18"/>
      <c r="G348" s="18"/>
      <c r="H348" s="18"/>
      <c r="I348" s="18"/>
      <c r="J348" s="18">
        <v>3970526.04</v>
      </c>
      <c r="K348" s="18"/>
      <c r="L348" s="10">
        <v>6</v>
      </c>
      <c r="M348" s="18">
        <v>22642858.809999999</v>
      </c>
      <c r="N348" s="10"/>
      <c r="O348" s="18"/>
      <c r="P348" s="18"/>
      <c r="Q348" s="18">
        <v>24428755.620000001</v>
      </c>
      <c r="R348" s="18"/>
      <c r="S348" s="18"/>
    </row>
    <row r="349" spans="1:19" x14ac:dyDescent="0.25">
      <c r="A349" s="9" t="s">
        <v>687</v>
      </c>
      <c r="B349" s="17" t="s">
        <v>688</v>
      </c>
      <c r="C349" s="18">
        <f t="shared" si="23"/>
        <v>43963616.460000001</v>
      </c>
      <c r="D349" s="18">
        <v>882294.77</v>
      </c>
      <c r="E349" s="18">
        <v>344633.73</v>
      </c>
      <c r="F349" s="18"/>
      <c r="G349" s="18"/>
      <c r="H349" s="18"/>
      <c r="I349" s="18"/>
      <c r="J349" s="18"/>
      <c r="K349" s="18"/>
      <c r="L349" s="10">
        <v>6</v>
      </c>
      <c r="M349" s="18">
        <v>22643065.489999998</v>
      </c>
      <c r="N349" s="10" t="s">
        <v>552</v>
      </c>
      <c r="O349" s="18">
        <v>20093622.469999999</v>
      </c>
      <c r="P349" s="18"/>
      <c r="Q349" s="18"/>
      <c r="R349" s="18"/>
      <c r="S349" s="18"/>
    </row>
    <row r="350" spans="1:19" x14ac:dyDescent="0.25">
      <c r="A350" s="9" t="s">
        <v>689</v>
      </c>
      <c r="B350" s="17" t="s">
        <v>690</v>
      </c>
      <c r="C350" s="18">
        <f t="shared" si="23"/>
        <v>42659225.060000002</v>
      </c>
      <c r="D350" s="18">
        <v>856937.54</v>
      </c>
      <c r="E350" s="18">
        <v>366451.68</v>
      </c>
      <c r="F350" s="18"/>
      <c r="G350" s="18"/>
      <c r="H350" s="18"/>
      <c r="I350" s="18"/>
      <c r="J350" s="18"/>
      <c r="K350" s="18"/>
      <c r="L350" s="10">
        <v>6</v>
      </c>
      <c r="M350" s="18">
        <v>22642858.809999999</v>
      </c>
      <c r="N350" s="10" t="s">
        <v>552</v>
      </c>
      <c r="O350" s="18">
        <v>18792977.030000001</v>
      </c>
      <c r="P350" s="18"/>
      <c r="Q350" s="18"/>
      <c r="R350" s="18"/>
      <c r="S350" s="18"/>
    </row>
    <row r="351" spans="1:19" x14ac:dyDescent="0.25">
      <c r="A351" s="9" t="s">
        <v>691</v>
      </c>
      <c r="B351" s="17" t="s">
        <v>692</v>
      </c>
      <c r="C351" s="18">
        <f t="shared" si="23"/>
        <v>423644.33</v>
      </c>
      <c r="D351" s="18"/>
      <c r="E351" s="18">
        <v>423644.33</v>
      </c>
      <c r="F351" s="18"/>
      <c r="G351" s="18"/>
      <c r="H351" s="18"/>
      <c r="I351" s="18"/>
      <c r="J351" s="18"/>
      <c r="K351" s="18"/>
      <c r="L351" s="10"/>
      <c r="M351" s="18"/>
      <c r="N351" s="10"/>
      <c r="O351" s="18"/>
      <c r="P351" s="18"/>
      <c r="Q351" s="18"/>
      <c r="R351" s="18"/>
      <c r="S351" s="18"/>
    </row>
    <row r="352" spans="1:19" x14ac:dyDescent="0.25">
      <c r="A352" s="9" t="s">
        <v>693</v>
      </c>
      <c r="B352" s="17" t="s">
        <v>694</v>
      </c>
      <c r="C352" s="18">
        <f t="shared" si="23"/>
        <v>66620508.079999998</v>
      </c>
      <c r="D352" s="18">
        <v>1338541.1599999999</v>
      </c>
      <c r="E352" s="18">
        <v>1342162.03</v>
      </c>
      <c r="F352" s="18"/>
      <c r="G352" s="18">
        <v>8561865.0800000001</v>
      </c>
      <c r="H352" s="18">
        <v>4140147.42</v>
      </c>
      <c r="I352" s="18">
        <v>1450623.8</v>
      </c>
      <c r="J352" s="18">
        <v>7254752.2000000002</v>
      </c>
      <c r="K352" s="18"/>
      <c r="L352" s="10">
        <v>6</v>
      </c>
      <c r="M352" s="18">
        <v>22112693.379999999</v>
      </c>
      <c r="N352" s="10"/>
      <c r="O352" s="18"/>
      <c r="P352" s="18"/>
      <c r="Q352" s="18">
        <v>20419723.010000002</v>
      </c>
      <c r="R352" s="18"/>
      <c r="S352" s="18"/>
    </row>
    <row r="353" spans="1:19" ht="15.75" customHeight="1" x14ac:dyDescent="0.25">
      <c r="A353" s="9" t="s">
        <v>695</v>
      </c>
      <c r="B353" s="17" t="s">
        <v>696</v>
      </c>
      <c r="C353" s="18">
        <f t="shared" si="23"/>
        <v>4416981.32</v>
      </c>
      <c r="D353" s="18">
        <v>91187.72</v>
      </c>
      <c r="E353" s="18"/>
      <c r="F353" s="18"/>
      <c r="G353" s="18">
        <v>4325793.5999999996</v>
      </c>
      <c r="H353" s="18"/>
      <c r="I353" s="18"/>
      <c r="J353" s="18"/>
      <c r="K353" s="18"/>
      <c r="L353" s="10"/>
      <c r="M353" s="18"/>
      <c r="N353" s="10"/>
      <c r="O353" s="18"/>
      <c r="P353" s="18"/>
      <c r="Q353" s="18"/>
      <c r="R353" s="18"/>
      <c r="S353" s="18"/>
    </row>
    <row r="354" spans="1:19" x14ac:dyDescent="0.25">
      <c r="A354" s="9" t="s">
        <v>697</v>
      </c>
      <c r="B354" s="17" t="s">
        <v>698</v>
      </c>
      <c r="C354" s="18">
        <f t="shared" si="23"/>
        <v>1246571.01</v>
      </c>
      <c r="D354" s="18">
        <v>25735.22</v>
      </c>
      <c r="E354" s="18"/>
      <c r="F354" s="18"/>
      <c r="G354" s="18">
        <v>1220835.79</v>
      </c>
      <c r="H354" s="18"/>
      <c r="I354" s="18"/>
      <c r="J354" s="18"/>
      <c r="K354" s="18"/>
      <c r="L354" s="10"/>
      <c r="M354" s="18"/>
      <c r="N354" s="10"/>
      <c r="O354" s="18"/>
      <c r="P354" s="18"/>
      <c r="Q354" s="18"/>
      <c r="R354" s="18"/>
      <c r="S354" s="18"/>
    </row>
    <row r="355" spans="1:19" x14ac:dyDescent="0.25">
      <c r="A355" s="9" t="s">
        <v>699</v>
      </c>
      <c r="B355" s="17" t="s">
        <v>700</v>
      </c>
      <c r="C355" s="18">
        <f t="shared" si="23"/>
        <v>18711031.210000001</v>
      </c>
      <c r="D355" s="18">
        <v>420651.86</v>
      </c>
      <c r="E355" s="18">
        <v>404974.99</v>
      </c>
      <c r="F355" s="18"/>
      <c r="G355" s="18"/>
      <c r="H355" s="18"/>
      <c r="I355" s="18"/>
      <c r="J355" s="18"/>
      <c r="K355" s="18"/>
      <c r="L355" s="10">
        <v>3</v>
      </c>
      <c r="M355" s="18">
        <v>17885404.359999999</v>
      </c>
      <c r="N355" s="10"/>
      <c r="O355" s="18"/>
      <c r="P355" s="18"/>
      <c r="Q355" s="18"/>
      <c r="R355" s="18"/>
      <c r="S355" s="18"/>
    </row>
    <row r="356" spans="1:19" x14ac:dyDescent="0.25">
      <c r="A356" s="9" t="s">
        <v>701</v>
      </c>
      <c r="B356" s="17" t="s">
        <v>702</v>
      </c>
      <c r="C356" s="18">
        <f t="shared" si="23"/>
        <v>857850.54</v>
      </c>
      <c r="D356" s="18"/>
      <c r="E356" s="18">
        <v>857850.54</v>
      </c>
      <c r="F356" s="18"/>
      <c r="G356" s="18"/>
      <c r="H356" s="18"/>
      <c r="I356" s="18"/>
      <c r="J356" s="18"/>
      <c r="K356" s="18"/>
      <c r="L356" s="10"/>
      <c r="M356" s="18"/>
      <c r="N356" s="10"/>
      <c r="O356" s="18"/>
      <c r="P356" s="18"/>
      <c r="Q356" s="18"/>
      <c r="R356" s="18"/>
      <c r="S356" s="18"/>
    </row>
    <row r="357" spans="1:19" x14ac:dyDescent="0.25">
      <c r="A357" s="9" t="s">
        <v>703</v>
      </c>
      <c r="B357" s="17" t="s">
        <v>704</v>
      </c>
      <c r="C357" s="18">
        <f t="shared" si="23"/>
        <v>615242.6</v>
      </c>
      <c r="D357" s="18"/>
      <c r="E357" s="18">
        <v>615242.6</v>
      </c>
      <c r="F357" s="18"/>
      <c r="G357" s="18"/>
      <c r="H357" s="18"/>
      <c r="I357" s="18"/>
      <c r="J357" s="18"/>
      <c r="K357" s="18"/>
      <c r="L357" s="10"/>
      <c r="M357" s="18"/>
      <c r="N357" s="10"/>
      <c r="O357" s="18"/>
      <c r="P357" s="18"/>
      <c r="Q357" s="18"/>
      <c r="R357" s="18"/>
      <c r="S357" s="18"/>
    </row>
    <row r="358" spans="1:19" x14ac:dyDescent="0.25">
      <c r="A358" s="9" t="s">
        <v>705</v>
      </c>
      <c r="B358" s="17" t="s">
        <v>706</v>
      </c>
      <c r="C358" s="18">
        <f t="shared" si="23"/>
        <v>551951.31000000006</v>
      </c>
      <c r="D358" s="18"/>
      <c r="E358" s="18">
        <v>551951.31000000006</v>
      </c>
      <c r="F358" s="18"/>
      <c r="G358" s="18"/>
      <c r="H358" s="18"/>
      <c r="I358" s="18"/>
      <c r="J358" s="18"/>
      <c r="K358" s="18"/>
      <c r="L358" s="10"/>
      <c r="M358" s="18"/>
      <c r="N358" s="10"/>
      <c r="O358" s="18"/>
      <c r="P358" s="18"/>
      <c r="Q358" s="18"/>
      <c r="R358" s="18"/>
      <c r="S358" s="18"/>
    </row>
    <row r="359" spans="1:19" x14ac:dyDescent="0.25">
      <c r="A359" s="9" t="s">
        <v>707</v>
      </c>
      <c r="B359" s="17" t="s">
        <v>708</v>
      </c>
      <c r="C359" s="18">
        <f t="shared" si="23"/>
        <v>379186.41</v>
      </c>
      <c r="D359" s="18"/>
      <c r="E359" s="18">
        <v>379186.41</v>
      </c>
      <c r="F359" s="18"/>
      <c r="G359" s="18"/>
      <c r="H359" s="18"/>
      <c r="I359" s="18"/>
      <c r="J359" s="18"/>
      <c r="K359" s="18"/>
      <c r="L359" s="10"/>
      <c r="M359" s="18"/>
      <c r="N359" s="10"/>
      <c r="O359" s="18"/>
      <c r="P359" s="18"/>
      <c r="Q359" s="18"/>
      <c r="R359" s="18"/>
      <c r="S359" s="18"/>
    </row>
    <row r="360" spans="1:19" x14ac:dyDescent="0.25">
      <c r="A360" s="9" t="s">
        <v>709</v>
      </c>
      <c r="B360" s="17" t="s">
        <v>710</v>
      </c>
      <c r="C360" s="18">
        <f t="shared" si="23"/>
        <v>3145531.15</v>
      </c>
      <c r="D360" s="18">
        <f>ROUNDUP(SUM(F360+G360+H360+I360+J360+K360+M360+O360+P360+Q360+R360+S360)*0.0214,2)</f>
        <v>63278.770000000004</v>
      </c>
      <c r="E360" s="18">
        <v>125300.54</v>
      </c>
      <c r="F360" s="18"/>
      <c r="G360" s="18"/>
      <c r="H360" s="18"/>
      <c r="I360" s="18"/>
      <c r="J360" s="18"/>
      <c r="K360" s="18"/>
      <c r="L360" s="10"/>
      <c r="M360" s="18"/>
      <c r="N360" s="10"/>
      <c r="O360" s="18"/>
      <c r="P360" s="18">
        <v>2956951.84</v>
      </c>
      <c r="Q360" s="18"/>
      <c r="R360" s="18"/>
      <c r="S360" s="18"/>
    </row>
    <row r="361" spans="1:19" x14ac:dyDescent="0.25">
      <c r="A361" s="9" t="s">
        <v>711</v>
      </c>
      <c r="B361" s="17" t="s">
        <v>712</v>
      </c>
      <c r="C361" s="18">
        <f t="shared" si="23"/>
        <v>633056.16</v>
      </c>
      <c r="D361" s="18"/>
      <c r="E361" s="30">
        <v>633056.16</v>
      </c>
      <c r="F361" s="18"/>
      <c r="G361" s="18"/>
      <c r="H361" s="30"/>
      <c r="I361" s="30"/>
      <c r="J361" s="30"/>
      <c r="K361" s="30"/>
      <c r="L361" s="31"/>
      <c r="M361" s="30"/>
      <c r="N361" s="31"/>
      <c r="O361" s="18"/>
      <c r="P361" s="30"/>
      <c r="Q361" s="18"/>
      <c r="R361" s="30"/>
      <c r="S361" s="30"/>
    </row>
    <row r="362" spans="1:19" x14ac:dyDescent="0.25">
      <c r="A362" s="9" t="s">
        <v>713</v>
      </c>
      <c r="B362" s="17" t="s">
        <v>714</v>
      </c>
      <c r="C362" s="18">
        <f t="shared" si="23"/>
        <v>6468945.3300000001</v>
      </c>
      <c r="D362" s="18">
        <v>133550.13</v>
      </c>
      <c r="E362" s="18"/>
      <c r="F362" s="18"/>
      <c r="G362" s="18">
        <v>6335395.2000000002</v>
      </c>
      <c r="H362" s="18"/>
      <c r="I362" s="18"/>
      <c r="J362" s="18"/>
      <c r="K362" s="18"/>
      <c r="L362" s="10"/>
      <c r="M362" s="18"/>
      <c r="N362" s="10"/>
      <c r="O362" s="18"/>
      <c r="P362" s="18"/>
      <c r="Q362" s="18"/>
      <c r="R362" s="18"/>
      <c r="S362" s="18"/>
    </row>
    <row r="363" spans="1:19" s="2" customFormat="1" x14ac:dyDescent="0.25">
      <c r="A363" s="9" t="s">
        <v>715</v>
      </c>
      <c r="B363" s="24" t="s">
        <v>716</v>
      </c>
      <c r="C363" s="18">
        <f>ROUND(SUM(D363+E363+F363+G363+H363+I363+J363+K363+M363+O363+P363+Q363+R363+S363),2)</f>
        <v>1025532.32</v>
      </c>
      <c r="D363" s="18">
        <v>21171.919999999998</v>
      </c>
      <c r="E363" s="25"/>
      <c r="F363" s="26"/>
      <c r="G363" s="18">
        <v>1004360.4</v>
      </c>
      <c r="H363" s="18"/>
      <c r="I363" s="18"/>
      <c r="J363" s="27"/>
      <c r="K363" s="25"/>
      <c r="L363" s="28"/>
      <c r="M363" s="25"/>
      <c r="N363" s="25"/>
      <c r="O363" s="26"/>
      <c r="P363" s="25"/>
      <c r="Q363" s="29"/>
      <c r="R363" s="25"/>
      <c r="S363" s="25"/>
    </row>
    <row r="364" spans="1:19" x14ac:dyDescent="0.25">
      <c r="A364" s="9" t="s">
        <v>717</v>
      </c>
      <c r="B364" s="17" t="s">
        <v>718</v>
      </c>
      <c r="C364" s="18">
        <f>ROUNDUP(SUM(D364+E364+F364+G364+H364+I364+J364+K364+M364+O364+P364+Q364+R364+S364),2)</f>
        <v>505243.84</v>
      </c>
      <c r="D364" s="18"/>
      <c r="E364" s="18">
        <v>505243.84</v>
      </c>
      <c r="F364" s="18"/>
      <c r="G364" s="18"/>
      <c r="H364" s="18"/>
      <c r="I364" s="18"/>
      <c r="J364" s="18"/>
      <c r="K364" s="18"/>
      <c r="L364" s="10"/>
      <c r="M364" s="18"/>
      <c r="N364" s="10"/>
      <c r="O364" s="18"/>
      <c r="P364" s="18"/>
      <c r="Q364" s="18"/>
      <c r="R364" s="18"/>
      <c r="S364" s="18"/>
    </row>
    <row r="365" spans="1:19" x14ac:dyDescent="0.25">
      <c r="A365" s="9" t="s">
        <v>719</v>
      </c>
      <c r="B365" s="17" t="s">
        <v>720</v>
      </c>
      <c r="C365" s="18">
        <f>ROUNDUP(SUM(D365+E365+F365+G365+H365+I365+J365+K365+M365+O365+P365+Q365+R365+S365),2)</f>
        <v>3673307.53</v>
      </c>
      <c r="D365" s="18">
        <v>75834.73</v>
      </c>
      <c r="E365" s="18"/>
      <c r="F365" s="18"/>
      <c r="G365" s="18">
        <v>3597472.8</v>
      </c>
      <c r="H365" s="18"/>
      <c r="I365" s="18"/>
      <c r="J365" s="18"/>
      <c r="K365" s="18"/>
      <c r="L365" s="10"/>
      <c r="M365" s="18"/>
      <c r="N365" s="10"/>
      <c r="O365" s="18"/>
      <c r="P365" s="18"/>
      <c r="Q365" s="18"/>
      <c r="R365" s="18"/>
      <c r="S365" s="18"/>
    </row>
    <row r="366" spans="1:19" s="2" customFormat="1" x14ac:dyDescent="0.25">
      <c r="A366" s="9" t="s">
        <v>721</v>
      </c>
      <c r="B366" s="17" t="s">
        <v>722</v>
      </c>
      <c r="C366" s="18">
        <f>ROUNDUP(SUM(D366+E366+F366+G366+H366+I366+J366+K366+M366+O366+P366+Q366+R366+S366),2)</f>
        <v>381542.95</v>
      </c>
      <c r="D366" s="18"/>
      <c r="E366" s="30">
        <v>381542.95</v>
      </c>
      <c r="F366" s="18"/>
      <c r="G366" s="18"/>
      <c r="H366" s="30"/>
      <c r="I366" s="30"/>
      <c r="J366" s="30"/>
      <c r="K366" s="30"/>
      <c r="L366" s="31"/>
      <c r="M366" s="30"/>
      <c r="N366" s="31"/>
      <c r="O366" s="18"/>
      <c r="P366" s="30"/>
      <c r="Q366" s="18"/>
      <c r="R366" s="30"/>
      <c r="S366" s="30"/>
    </row>
    <row r="367" spans="1:19" x14ac:dyDescent="0.25">
      <c r="A367" s="9" t="s">
        <v>723</v>
      </c>
      <c r="B367" s="17" t="s">
        <v>724</v>
      </c>
      <c r="C367" s="18">
        <f>ROUND(SUM(D367+E367+F367+G367+H367+I367+J367+K367+M367+O367+P367+Q367+R367+S367),2)</f>
        <v>1250460.93</v>
      </c>
      <c r="D367" s="18">
        <f>ROUND((F367+G367+H367+I367+J367+K367+M367+O367+P367+Q367+R367+S367)*0.0214,2)</f>
        <v>26199.200000000001</v>
      </c>
      <c r="E367" s="26"/>
      <c r="F367" s="26"/>
      <c r="G367" s="18">
        <v>1224261.7299999995</v>
      </c>
      <c r="H367" s="29"/>
      <c r="I367" s="29"/>
      <c r="J367" s="29"/>
      <c r="K367" s="26"/>
      <c r="L367" s="32"/>
      <c r="M367" s="26"/>
      <c r="N367" s="26"/>
      <c r="O367" s="26"/>
      <c r="P367" s="26"/>
      <c r="Q367" s="29"/>
      <c r="R367" s="26"/>
      <c r="S367" s="26"/>
    </row>
    <row r="368" spans="1:19" s="2" customFormat="1" x14ac:dyDescent="0.25">
      <c r="A368" s="9" t="s">
        <v>725</v>
      </c>
      <c r="B368" s="24" t="s">
        <v>726</v>
      </c>
      <c r="C368" s="18">
        <f t="shared" ref="C368:C384" si="24">ROUNDUP(SUM(D368+E368+F368+G368+H368+I368+J368+K368+M368+O368+P368+Q368+R368+S368),2)</f>
        <v>12877966.27</v>
      </c>
      <c r="D368" s="18">
        <v>255146.65</v>
      </c>
      <c r="E368" s="18">
        <v>576236.21</v>
      </c>
      <c r="F368" s="26"/>
      <c r="G368" s="18"/>
      <c r="H368" s="18">
        <v>1181224.25</v>
      </c>
      <c r="I368" s="18">
        <v>744010.64</v>
      </c>
      <c r="J368" s="18">
        <v>684712.8</v>
      </c>
      <c r="K368" s="25"/>
      <c r="L368" s="28"/>
      <c r="M368" s="25"/>
      <c r="N368" s="25"/>
      <c r="O368" s="26"/>
      <c r="P368" s="18">
        <v>3182703.12</v>
      </c>
      <c r="Q368" s="18">
        <v>6253932.5999999996</v>
      </c>
      <c r="R368" s="25"/>
      <c r="S368" s="25"/>
    </row>
    <row r="369" spans="1:19" x14ac:dyDescent="0.25">
      <c r="A369" s="9" t="s">
        <v>727</v>
      </c>
      <c r="B369" s="17" t="s">
        <v>728</v>
      </c>
      <c r="C369" s="18">
        <f t="shared" si="24"/>
        <v>72405049</v>
      </c>
      <c r="D369" s="18">
        <v>1466166.1</v>
      </c>
      <c r="E369" s="18">
        <v>1036782.17</v>
      </c>
      <c r="F369" s="18"/>
      <c r="G369" s="18"/>
      <c r="H369" s="18"/>
      <c r="I369" s="18"/>
      <c r="J369" s="18"/>
      <c r="K369" s="18"/>
      <c r="L369" s="10">
        <v>6</v>
      </c>
      <c r="M369" s="18">
        <v>22885665.530000001</v>
      </c>
      <c r="N369" s="10" t="s">
        <v>552</v>
      </c>
      <c r="O369" s="18">
        <v>16473929.109999999</v>
      </c>
      <c r="P369" s="18">
        <v>4508193.54</v>
      </c>
      <c r="Q369" s="18">
        <v>26034312.550000001</v>
      </c>
      <c r="R369" s="18"/>
      <c r="S369" s="18"/>
    </row>
    <row r="370" spans="1:19" x14ac:dyDescent="0.25">
      <c r="A370" s="9" t="s">
        <v>729</v>
      </c>
      <c r="B370" s="17" t="s">
        <v>730</v>
      </c>
      <c r="C370" s="18">
        <f t="shared" si="24"/>
        <v>510548.5</v>
      </c>
      <c r="D370" s="18"/>
      <c r="E370" s="18">
        <v>510548.5</v>
      </c>
      <c r="F370" s="18"/>
      <c r="G370" s="18"/>
      <c r="H370" s="18"/>
      <c r="I370" s="18"/>
      <c r="J370" s="18"/>
      <c r="K370" s="18"/>
      <c r="L370" s="10"/>
      <c r="M370" s="18"/>
      <c r="N370" s="10"/>
      <c r="O370" s="18"/>
      <c r="P370" s="18"/>
      <c r="Q370" s="18"/>
      <c r="R370" s="18"/>
      <c r="S370" s="18"/>
    </row>
    <row r="371" spans="1:19" x14ac:dyDescent="0.25">
      <c r="A371" s="9" t="s">
        <v>731</v>
      </c>
      <c r="B371" s="17" t="s">
        <v>732</v>
      </c>
      <c r="C371" s="18">
        <f t="shared" si="24"/>
        <v>500887.14</v>
      </c>
      <c r="D371" s="18"/>
      <c r="E371" s="18">
        <v>500887.14</v>
      </c>
      <c r="F371" s="18"/>
      <c r="G371" s="18"/>
      <c r="H371" s="18"/>
      <c r="I371" s="18"/>
      <c r="J371" s="18"/>
      <c r="K371" s="18"/>
      <c r="L371" s="10"/>
      <c r="M371" s="18"/>
      <c r="N371" s="10"/>
      <c r="O371" s="18"/>
      <c r="P371" s="18"/>
      <c r="Q371" s="18"/>
      <c r="R371" s="18"/>
      <c r="S371" s="18"/>
    </row>
    <row r="372" spans="1:19" x14ac:dyDescent="0.25">
      <c r="A372" s="9" t="s">
        <v>733</v>
      </c>
      <c r="B372" s="17" t="s">
        <v>734</v>
      </c>
      <c r="C372" s="18">
        <f t="shared" si="24"/>
        <v>89357419.049999997</v>
      </c>
      <c r="D372" s="18">
        <v>1798237.76</v>
      </c>
      <c r="E372" s="18">
        <v>1246162.3999999999</v>
      </c>
      <c r="F372" s="18"/>
      <c r="G372" s="18">
        <v>9280640.8599999994</v>
      </c>
      <c r="H372" s="18"/>
      <c r="I372" s="18"/>
      <c r="J372" s="18">
        <v>2044866.46</v>
      </c>
      <c r="K372" s="18"/>
      <c r="L372" s="10">
        <v>6</v>
      </c>
      <c r="M372" s="18">
        <v>22643061.609999999</v>
      </c>
      <c r="N372" s="10" t="s">
        <v>552</v>
      </c>
      <c r="O372" s="18">
        <v>19066093.059999999</v>
      </c>
      <c r="P372" s="18">
        <v>10618903.33</v>
      </c>
      <c r="Q372" s="18">
        <v>22659453.57</v>
      </c>
      <c r="R372" s="18"/>
      <c r="S372" s="18"/>
    </row>
    <row r="373" spans="1:19" x14ac:dyDescent="0.25">
      <c r="A373" s="9" t="s">
        <v>735</v>
      </c>
      <c r="B373" s="17" t="s">
        <v>736</v>
      </c>
      <c r="C373" s="18">
        <f t="shared" si="24"/>
        <v>1805003.14</v>
      </c>
      <c r="D373" s="18">
        <v>37263.94</v>
      </c>
      <c r="E373" s="18"/>
      <c r="F373" s="18"/>
      <c r="G373" s="18">
        <v>1767739.2</v>
      </c>
      <c r="H373" s="18"/>
      <c r="I373" s="18"/>
      <c r="J373" s="18"/>
      <c r="K373" s="18"/>
      <c r="L373" s="10"/>
      <c r="M373" s="18"/>
      <c r="N373" s="10"/>
      <c r="O373" s="18"/>
      <c r="P373" s="18"/>
      <c r="Q373" s="18"/>
      <c r="R373" s="18"/>
      <c r="S373" s="18"/>
    </row>
    <row r="374" spans="1:19" x14ac:dyDescent="0.25">
      <c r="A374" s="9" t="s">
        <v>737</v>
      </c>
      <c r="B374" s="17" t="s">
        <v>738</v>
      </c>
      <c r="C374" s="18">
        <f t="shared" si="24"/>
        <v>42759708.289999999</v>
      </c>
      <c r="D374" s="18">
        <v>1137112.47</v>
      </c>
      <c r="E374" s="18">
        <v>1494870.04</v>
      </c>
      <c r="F374" s="18"/>
      <c r="G374" s="18"/>
      <c r="H374" s="18"/>
      <c r="I374" s="18"/>
      <c r="J374" s="18"/>
      <c r="K374" s="18"/>
      <c r="L374" s="10">
        <v>3</v>
      </c>
      <c r="M374" s="18">
        <v>17885404.359999999</v>
      </c>
      <c r="N374" s="10"/>
      <c r="O374" s="18"/>
      <c r="P374" s="18">
        <v>4163023.19</v>
      </c>
      <c r="Q374" s="18">
        <v>18079298.23</v>
      </c>
      <c r="R374" s="18"/>
      <c r="S374" s="18"/>
    </row>
    <row r="375" spans="1:19" x14ac:dyDescent="0.25">
      <c r="A375" s="9" t="s">
        <v>739</v>
      </c>
      <c r="B375" s="17" t="s">
        <v>740</v>
      </c>
      <c r="C375" s="18">
        <f t="shared" si="24"/>
        <v>18671881.989999998</v>
      </c>
      <c r="D375" s="18">
        <v>372113.87</v>
      </c>
      <c r="E375" s="18">
        <v>414363.76</v>
      </c>
      <c r="F375" s="18"/>
      <c r="G375" s="18"/>
      <c r="H375" s="18"/>
      <c r="I375" s="18"/>
      <c r="J375" s="18"/>
      <c r="K375" s="18"/>
      <c r="L375" s="10">
        <v>3</v>
      </c>
      <c r="M375" s="18">
        <v>17885404.359999999</v>
      </c>
      <c r="N375" s="10"/>
      <c r="O375" s="18"/>
      <c r="P375" s="18"/>
      <c r="Q375" s="18"/>
      <c r="R375" s="18"/>
      <c r="S375" s="18"/>
    </row>
    <row r="376" spans="1:19" x14ac:dyDescent="0.25">
      <c r="A376" s="9" t="s">
        <v>741</v>
      </c>
      <c r="B376" s="17" t="s">
        <v>742</v>
      </c>
      <c r="C376" s="18">
        <f t="shared" si="24"/>
        <v>18620074.84</v>
      </c>
      <c r="D376" s="18">
        <v>372113.87</v>
      </c>
      <c r="E376" s="18">
        <v>362556.61</v>
      </c>
      <c r="F376" s="18"/>
      <c r="G376" s="18"/>
      <c r="H376" s="18"/>
      <c r="I376" s="18"/>
      <c r="J376" s="18"/>
      <c r="K376" s="18"/>
      <c r="L376" s="10">
        <v>3</v>
      </c>
      <c r="M376" s="18">
        <v>17885404.359999999</v>
      </c>
      <c r="N376" s="10"/>
      <c r="O376" s="18"/>
      <c r="P376" s="18"/>
      <c r="Q376" s="18"/>
      <c r="R376" s="18"/>
      <c r="S376" s="18"/>
    </row>
    <row r="377" spans="1:19" x14ac:dyDescent="0.25">
      <c r="A377" s="9" t="s">
        <v>743</v>
      </c>
      <c r="B377" s="17" t="s">
        <v>744</v>
      </c>
      <c r="C377" s="18">
        <f t="shared" si="24"/>
        <v>18668088.859999999</v>
      </c>
      <c r="D377" s="18">
        <v>420651.87</v>
      </c>
      <c r="E377" s="18">
        <v>362032.63</v>
      </c>
      <c r="F377" s="18"/>
      <c r="G377" s="18"/>
      <c r="H377" s="18"/>
      <c r="I377" s="18"/>
      <c r="J377" s="18"/>
      <c r="K377" s="18"/>
      <c r="L377" s="10">
        <v>3</v>
      </c>
      <c r="M377" s="18">
        <v>17885404.359999999</v>
      </c>
      <c r="N377" s="10"/>
      <c r="O377" s="18"/>
      <c r="P377" s="18"/>
      <c r="Q377" s="18"/>
      <c r="R377" s="18"/>
      <c r="S377" s="18"/>
    </row>
    <row r="378" spans="1:19" x14ac:dyDescent="0.25">
      <c r="A378" s="9" t="s">
        <v>745</v>
      </c>
      <c r="B378" s="17" t="s">
        <v>746</v>
      </c>
      <c r="C378" s="18">
        <f t="shared" si="24"/>
        <v>527226.31999999995</v>
      </c>
      <c r="D378" s="18"/>
      <c r="E378" s="18">
        <v>527226.31999999995</v>
      </c>
      <c r="F378" s="18"/>
      <c r="G378" s="18"/>
      <c r="H378" s="18"/>
      <c r="I378" s="18"/>
      <c r="J378" s="18"/>
      <c r="K378" s="18"/>
      <c r="L378" s="10"/>
      <c r="M378" s="18"/>
      <c r="N378" s="10"/>
      <c r="O378" s="18"/>
      <c r="P378" s="18"/>
      <c r="Q378" s="18"/>
      <c r="R378" s="18"/>
      <c r="S378" s="18"/>
    </row>
    <row r="379" spans="1:19" x14ac:dyDescent="0.25">
      <c r="A379" s="9" t="s">
        <v>747</v>
      </c>
      <c r="B379" s="17" t="s">
        <v>748</v>
      </c>
      <c r="C379" s="18">
        <f t="shared" si="24"/>
        <v>16007536.890000001</v>
      </c>
      <c r="D379" s="18">
        <v>325480.96000000002</v>
      </c>
      <c r="E379" s="18">
        <v>100593.49</v>
      </c>
      <c r="F379" s="18"/>
      <c r="G379" s="18"/>
      <c r="H379" s="18"/>
      <c r="I379" s="18"/>
      <c r="J379" s="18"/>
      <c r="K379" s="18"/>
      <c r="L379" s="10">
        <v>4</v>
      </c>
      <c r="M379" s="18">
        <v>15581462.439999999</v>
      </c>
      <c r="N379" s="10"/>
      <c r="O379" s="18"/>
      <c r="P379" s="18"/>
      <c r="Q379" s="18"/>
      <c r="R379" s="18"/>
      <c r="S379" s="18"/>
    </row>
    <row r="380" spans="1:19" x14ac:dyDescent="0.25">
      <c r="A380" s="9" t="s">
        <v>749</v>
      </c>
      <c r="B380" s="17" t="s">
        <v>750</v>
      </c>
      <c r="C380" s="18">
        <f t="shared" si="24"/>
        <v>173329.4</v>
      </c>
      <c r="D380" s="18"/>
      <c r="E380" s="18">
        <v>173329.4</v>
      </c>
      <c r="F380" s="18"/>
      <c r="G380" s="18"/>
      <c r="H380" s="18"/>
      <c r="I380" s="18"/>
      <c r="J380" s="18"/>
      <c r="K380" s="18"/>
      <c r="L380" s="10"/>
      <c r="M380" s="18"/>
      <c r="N380" s="10"/>
      <c r="O380" s="18"/>
      <c r="P380" s="18"/>
      <c r="Q380" s="18"/>
      <c r="R380" s="18"/>
      <c r="S380" s="18"/>
    </row>
    <row r="381" spans="1:19" x14ac:dyDescent="0.25">
      <c r="A381" s="9" t="s">
        <v>751</v>
      </c>
      <c r="B381" s="17" t="s">
        <v>752</v>
      </c>
      <c r="C381" s="18">
        <f t="shared" si="24"/>
        <v>44624863.649999999</v>
      </c>
      <c r="D381" s="18">
        <v>429187.59</v>
      </c>
      <c r="E381" s="18">
        <v>559674.56000000006</v>
      </c>
      <c r="F381" s="18"/>
      <c r="G381" s="18"/>
      <c r="H381" s="18"/>
      <c r="I381" s="18"/>
      <c r="J381" s="18"/>
      <c r="K381" s="18"/>
      <c r="L381" s="10">
        <v>6</v>
      </c>
      <c r="M381" s="18">
        <v>23372187.219999999</v>
      </c>
      <c r="N381" s="10"/>
      <c r="O381" s="18"/>
      <c r="P381" s="18"/>
      <c r="Q381" s="18">
        <v>20263814.280000001</v>
      </c>
      <c r="R381" s="18"/>
      <c r="S381" s="18"/>
    </row>
    <row r="382" spans="1:19" x14ac:dyDescent="0.25">
      <c r="A382" s="9" t="s">
        <v>753</v>
      </c>
      <c r="B382" s="17" t="s">
        <v>754</v>
      </c>
      <c r="C382" s="18">
        <f t="shared" si="24"/>
        <v>390996.13</v>
      </c>
      <c r="D382" s="18"/>
      <c r="E382" s="18">
        <v>390996.13</v>
      </c>
      <c r="F382" s="18"/>
      <c r="G382" s="18"/>
      <c r="H382" s="18"/>
      <c r="I382" s="18"/>
      <c r="J382" s="18"/>
      <c r="K382" s="18"/>
      <c r="L382" s="10"/>
      <c r="M382" s="18"/>
      <c r="N382" s="10"/>
      <c r="O382" s="18"/>
      <c r="P382" s="18"/>
      <c r="Q382" s="18"/>
      <c r="R382" s="18"/>
      <c r="S382" s="18"/>
    </row>
    <row r="383" spans="1:19" x14ac:dyDescent="0.25">
      <c r="A383" s="9" t="s">
        <v>755</v>
      </c>
      <c r="B383" s="17" t="s">
        <v>756</v>
      </c>
      <c r="C383" s="18">
        <f t="shared" si="24"/>
        <v>679877.81</v>
      </c>
      <c r="D383" s="18"/>
      <c r="E383" s="18">
        <v>679877.81</v>
      </c>
      <c r="F383" s="18"/>
      <c r="G383" s="18"/>
      <c r="H383" s="18"/>
      <c r="I383" s="18"/>
      <c r="J383" s="18"/>
      <c r="K383" s="18"/>
      <c r="L383" s="10"/>
      <c r="M383" s="18"/>
      <c r="N383" s="10"/>
      <c r="O383" s="18"/>
      <c r="P383" s="18"/>
      <c r="Q383" s="18"/>
      <c r="R383" s="18"/>
      <c r="S383" s="18"/>
    </row>
    <row r="384" spans="1:19" x14ac:dyDescent="0.25">
      <c r="A384" s="9" t="s">
        <v>757</v>
      </c>
      <c r="B384" s="17" t="s">
        <v>758</v>
      </c>
      <c r="C384" s="18">
        <f t="shared" si="24"/>
        <v>494807.29</v>
      </c>
      <c r="D384" s="18"/>
      <c r="E384" s="18">
        <v>494807.29</v>
      </c>
      <c r="F384" s="18"/>
      <c r="G384" s="18"/>
      <c r="H384" s="18"/>
      <c r="I384" s="18"/>
      <c r="J384" s="18"/>
      <c r="K384" s="18"/>
      <c r="L384" s="10"/>
      <c r="M384" s="18"/>
      <c r="N384" s="10"/>
      <c r="O384" s="18"/>
      <c r="P384" s="18"/>
      <c r="Q384" s="18"/>
      <c r="R384" s="18"/>
      <c r="S384" s="18"/>
    </row>
    <row r="385" spans="1:19" ht="15" customHeight="1" x14ac:dyDescent="0.25">
      <c r="A385" s="17"/>
      <c r="B385" s="17" t="s">
        <v>759</v>
      </c>
      <c r="C385" s="18">
        <f>ROUND(D385+E385+F385+G385+H385+I385+J385+K385+M385+O385+P385+Q385+R385+S385,2)</f>
        <v>1284820515.29</v>
      </c>
      <c r="D385" s="18">
        <f t="shared" ref="D385:S385" si="25">SUM(D280:D384)</f>
        <v>24840541.280000001</v>
      </c>
      <c r="E385" s="18">
        <f t="shared" si="25"/>
        <v>66986913.290000014</v>
      </c>
      <c r="F385" s="18">
        <f t="shared" si="25"/>
        <v>35626289.000000007</v>
      </c>
      <c r="G385" s="18">
        <f t="shared" si="25"/>
        <v>91121798.440000013</v>
      </c>
      <c r="H385" s="18">
        <f t="shared" si="25"/>
        <v>15140389.020000001</v>
      </c>
      <c r="I385" s="18">
        <f t="shared" si="25"/>
        <v>8796842.3599999994</v>
      </c>
      <c r="J385" s="18">
        <f t="shared" si="25"/>
        <v>34781504.369999997</v>
      </c>
      <c r="K385" s="18">
        <f t="shared" si="25"/>
        <v>0</v>
      </c>
      <c r="L385" s="10">
        <f t="shared" si="25"/>
        <v>129</v>
      </c>
      <c r="M385" s="18">
        <f t="shared" si="25"/>
        <v>543718620.47000003</v>
      </c>
      <c r="N385" s="18" t="s">
        <v>42</v>
      </c>
      <c r="O385" s="18">
        <f t="shared" si="25"/>
        <v>135738561.24000001</v>
      </c>
      <c r="P385" s="18">
        <f t="shared" si="25"/>
        <v>76034572.679999992</v>
      </c>
      <c r="Q385" s="18">
        <f t="shared" si="25"/>
        <v>252034483.13999999</v>
      </c>
      <c r="R385" s="18">
        <f t="shared" si="25"/>
        <v>0</v>
      </c>
      <c r="S385" s="18">
        <f t="shared" si="25"/>
        <v>0</v>
      </c>
    </row>
    <row r="386" spans="1:19" ht="15.6" customHeight="1" x14ac:dyDescent="0.25">
      <c r="A386" s="12"/>
      <c r="B386" s="12" t="s">
        <v>760</v>
      </c>
      <c r="C386" s="19"/>
      <c r="D386" s="13"/>
      <c r="E386" s="18"/>
      <c r="F386" s="13"/>
      <c r="G386" s="13"/>
      <c r="H386" s="13"/>
      <c r="I386" s="13"/>
      <c r="J386" s="13"/>
      <c r="K386" s="13"/>
      <c r="L386" s="14"/>
      <c r="M386" s="13"/>
      <c r="N386" s="14"/>
      <c r="O386" s="13"/>
      <c r="P386" s="13"/>
      <c r="Q386" s="13"/>
      <c r="R386" s="13"/>
      <c r="S386" s="13"/>
    </row>
    <row r="387" spans="1:19" x14ac:dyDescent="0.25">
      <c r="A387" s="9" t="s">
        <v>761</v>
      </c>
      <c r="B387" s="17" t="s">
        <v>762</v>
      </c>
      <c r="C387" s="18">
        <f t="shared" ref="C387:C400" si="26">ROUNDUP(SUM(D387+E387+F387+G387+H387+I387+J387+K387+M387+O387+P387+Q387+R387+S387),2)</f>
        <v>11375699.720000001</v>
      </c>
      <c r="D387" s="18">
        <v>229688.53</v>
      </c>
      <c r="E387" s="18">
        <v>116155.28</v>
      </c>
      <c r="F387" s="13"/>
      <c r="G387" s="13"/>
      <c r="H387" s="13"/>
      <c r="I387" s="13"/>
      <c r="J387" s="13"/>
      <c r="K387" s="13"/>
      <c r="L387" s="10">
        <v>5</v>
      </c>
      <c r="M387" s="18">
        <v>11029855.91</v>
      </c>
      <c r="N387" s="14"/>
      <c r="O387" s="13"/>
      <c r="P387" s="13"/>
      <c r="Q387" s="13"/>
      <c r="R387" s="13"/>
      <c r="S387" s="13"/>
    </row>
    <row r="388" spans="1:19" x14ac:dyDescent="0.25">
      <c r="A388" s="9" t="s">
        <v>763</v>
      </c>
      <c r="B388" s="17" t="s">
        <v>764</v>
      </c>
      <c r="C388" s="18">
        <f t="shared" si="26"/>
        <v>119953.22</v>
      </c>
      <c r="D388" s="18"/>
      <c r="E388" s="18">
        <v>119953.22</v>
      </c>
      <c r="F388" s="18"/>
      <c r="G388" s="18"/>
      <c r="H388" s="18"/>
      <c r="I388" s="18"/>
      <c r="J388" s="18"/>
      <c r="K388" s="18"/>
      <c r="L388" s="10"/>
      <c r="M388" s="18"/>
      <c r="N388" s="10"/>
      <c r="O388" s="18"/>
      <c r="P388" s="18"/>
      <c r="Q388" s="18"/>
      <c r="R388" s="18"/>
      <c r="S388" s="18"/>
    </row>
    <row r="389" spans="1:19" x14ac:dyDescent="0.25">
      <c r="A389" s="9" t="s">
        <v>765</v>
      </c>
      <c r="B389" s="17" t="s">
        <v>766</v>
      </c>
      <c r="C389" s="18">
        <f t="shared" si="26"/>
        <v>129830.84</v>
      </c>
      <c r="D389" s="18"/>
      <c r="E389" s="18">
        <v>129830.84</v>
      </c>
      <c r="F389" s="18"/>
      <c r="G389" s="18"/>
      <c r="H389" s="18"/>
      <c r="I389" s="18"/>
      <c r="J389" s="18"/>
      <c r="K389" s="18"/>
      <c r="L389" s="10"/>
      <c r="M389" s="18"/>
      <c r="N389" s="10"/>
      <c r="O389" s="18"/>
      <c r="P389" s="18"/>
      <c r="Q389" s="18"/>
      <c r="R389" s="18"/>
      <c r="S389" s="18"/>
    </row>
    <row r="390" spans="1:19" x14ac:dyDescent="0.25">
      <c r="A390" s="9" t="s">
        <v>767</v>
      </c>
      <c r="B390" s="17" t="s">
        <v>768</v>
      </c>
      <c r="C390" s="18">
        <f t="shared" si="26"/>
        <v>140894.06</v>
      </c>
      <c r="D390" s="18"/>
      <c r="E390" s="18">
        <v>140894.06</v>
      </c>
      <c r="F390" s="18"/>
      <c r="G390" s="18"/>
      <c r="H390" s="18"/>
      <c r="I390" s="18"/>
      <c r="J390" s="18"/>
      <c r="K390" s="18"/>
      <c r="L390" s="10"/>
      <c r="M390" s="18"/>
      <c r="N390" s="10"/>
      <c r="O390" s="18"/>
      <c r="P390" s="18"/>
      <c r="Q390" s="18"/>
      <c r="R390" s="18"/>
      <c r="S390" s="18"/>
    </row>
    <row r="391" spans="1:19" x14ac:dyDescent="0.25">
      <c r="A391" s="9" t="s">
        <v>769</v>
      </c>
      <c r="B391" s="17" t="s">
        <v>770</v>
      </c>
      <c r="C391" s="18">
        <f t="shared" si="26"/>
        <v>412110.23</v>
      </c>
      <c r="D391" s="18"/>
      <c r="E391" s="18">
        <v>412110.23</v>
      </c>
      <c r="F391" s="18"/>
      <c r="G391" s="18"/>
      <c r="H391" s="18"/>
      <c r="I391" s="18"/>
      <c r="J391" s="18"/>
      <c r="K391" s="18"/>
      <c r="L391" s="10"/>
      <c r="M391" s="18"/>
      <c r="N391" s="10"/>
      <c r="O391" s="18"/>
      <c r="P391" s="18"/>
      <c r="Q391" s="18"/>
      <c r="R391" s="18"/>
      <c r="S391" s="18"/>
    </row>
    <row r="392" spans="1:19" x14ac:dyDescent="0.25">
      <c r="A392" s="9" t="s">
        <v>771</v>
      </c>
      <c r="B392" s="17" t="s">
        <v>772</v>
      </c>
      <c r="C392" s="18">
        <f t="shared" si="26"/>
        <v>64277.05</v>
      </c>
      <c r="D392" s="18"/>
      <c r="E392" s="18">
        <v>64277.05</v>
      </c>
      <c r="F392" s="18"/>
      <c r="G392" s="18"/>
      <c r="H392" s="18"/>
      <c r="I392" s="18"/>
      <c r="J392" s="18"/>
      <c r="K392" s="18"/>
      <c r="L392" s="10"/>
      <c r="M392" s="18"/>
      <c r="N392" s="10"/>
      <c r="O392" s="18"/>
      <c r="P392" s="18"/>
      <c r="Q392" s="18"/>
      <c r="R392" s="18"/>
      <c r="S392" s="18"/>
    </row>
    <row r="393" spans="1:19" x14ac:dyDescent="0.25">
      <c r="A393" s="9" t="s">
        <v>773</v>
      </c>
      <c r="B393" s="17" t="s">
        <v>774</v>
      </c>
      <c r="C393" s="18">
        <f t="shared" si="26"/>
        <v>340211.38</v>
      </c>
      <c r="D393" s="18"/>
      <c r="E393" s="18">
        <v>340211.38</v>
      </c>
      <c r="F393" s="18"/>
      <c r="G393" s="18"/>
      <c r="H393" s="18"/>
      <c r="I393" s="18"/>
      <c r="J393" s="18"/>
      <c r="K393" s="18"/>
      <c r="L393" s="10"/>
      <c r="M393" s="18"/>
      <c r="N393" s="10"/>
      <c r="O393" s="18"/>
      <c r="P393" s="18"/>
      <c r="Q393" s="18"/>
      <c r="R393" s="18"/>
      <c r="S393" s="18"/>
    </row>
    <row r="394" spans="1:19" x14ac:dyDescent="0.25">
      <c r="A394" s="9" t="s">
        <v>775</v>
      </c>
      <c r="B394" s="17" t="s">
        <v>776</v>
      </c>
      <c r="C394" s="18">
        <f t="shared" si="26"/>
        <v>414164.83</v>
      </c>
      <c r="D394" s="18"/>
      <c r="E394" s="18">
        <v>414164.83</v>
      </c>
      <c r="F394" s="18"/>
      <c r="G394" s="18"/>
      <c r="H394" s="18"/>
      <c r="I394" s="18"/>
      <c r="J394" s="18"/>
      <c r="K394" s="18"/>
      <c r="L394" s="10"/>
      <c r="M394" s="18"/>
      <c r="N394" s="10"/>
      <c r="O394" s="18"/>
      <c r="P394" s="18"/>
      <c r="Q394" s="18"/>
      <c r="R394" s="18"/>
      <c r="S394" s="18"/>
    </row>
    <row r="395" spans="1:19" x14ac:dyDescent="0.25">
      <c r="A395" s="9" t="s">
        <v>777</v>
      </c>
      <c r="B395" s="17" t="s">
        <v>778</v>
      </c>
      <c r="C395" s="18">
        <f t="shared" si="26"/>
        <v>418240.78</v>
      </c>
      <c r="D395" s="18"/>
      <c r="E395" s="18">
        <v>418240.78</v>
      </c>
      <c r="F395" s="18"/>
      <c r="G395" s="18"/>
      <c r="H395" s="18"/>
      <c r="I395" s="18"/>
      <c r="J395" s="18"/>
      <c r="K395" s="18"/>
      <c r="L395" s="10"/>
      <c r="M395" s="18"/>
      <c r="N395" s="10"/>
      <c r="O395" s="18"/>
      <c r="P395" s="18"/>
      <c r="Q395" s="18"/>
      <c r="R395" s="18"/>
      <c r="S395" s="18"/>
    </row>
    <row r="396" spans="1:19" x14ac:dyDescent="0.25">
      <c r="A396" s="9" t="s">
        <v>779</v>
      </c>
      <c r="B396" s="17" t="s">
        <v>780</v>
      </c>
      <c r="C396" s="18">
        <f t="shared" si="26"/>
        <v>155333.79999999999</v>
      </c>
      <c r="D396" s="18"/>
      <c r="E396" s="18">
        <v>155333.79999999999</v>
      </c>
      <c r="F396" s="18"/>
      <c r="G396" s="18"/>
      <c r="H396" s="18"/>
      <c r="I396" s="18"/>
      <c r="J396" s="18"/>
      <c r="K396" s="18"/>
      <c r="L396" s="10"/>
      <c r="M396" s="18"/>
      <c r="N396" s="10"/>
      <c r="O396" s="18"/>
      <c r="P396" s="18"/>
      <c r="Q396" s="18"/>
      <c r="R396" s="18"/>
      <c r="S396" s="18"/>
    </row>
    <row r="397" spans="1:19" x14ac:dyDescent="0.25">
      <c r="A397" s="9" t="s">
        <v>781</v>
      </c>
      <c r="B397" s="17" t="s">
        <v>782</v>
      </c>
      <c r="C397" s="18">
        <f t="shared" si="26"/>
        <v>309205.46000000002</v>
      </c>
      <c r="D397" s="18"/>
      <c r="E397" s="18">
        <v>309205.46000000002</v>
      </c>
      <c r="F397" s="18"/>
      <c r="G397" s="18"/>
      <c r="H397" s="18"/>
      <c r="I397" s="18"/>
      <c r="J397" s="18"/>
      <c r="K397" s="18"/>
      <c r="L397" s="10"/>
      <c r="M397" s="18"/>
      <c r="N397" s="10"/>
      <c r="O397" s="18"/>
      <c r="P397" s="18"/>
      <c r="Q397" s="18"/>
      <c r="R397" s="18"/>
      <c r="S397" s="18"/>
    </row>
    <row r="398" spans="1:19" x14ac:dyDescent="0.25">
      <c r="A398" s="9" t="s">
        <v>783</v>
      </c>
      <c r="B398" s="17" t="s">
        <v>784</v>
      </c>
      <c r="C398" s="18">
        <f t="shared" si="26"/>
        <v>223873.5</v>
      </c>
      <c r="D398" s="18"/>
      <c r="E398" s="18">
        <v>223873.5</v>
      </c>
      <c r="F398" s="18"/>
      <c r="G398" s="18"/>
      <c r="H398" s="18"/>
      <c r="I398" s="18"/>
      <c r="J398" s="18"/>
      <c r="K398" s="18"/>
      <c r="L398" s="10"/>
      <c r="M398" s="18"/>
      <c r="N398" s="10"/>
      <c r="O398" s="18"/>
      <c r="P398" s="18"/>
      <c r="Q398" s="18"/>
      <c r="R398" s="18"/>
      <c r="S398" s="18"/>
    </row>
    <row r="399" spans="1:19" x14ac:dyDescent="0.25">
      <c r="A399" s="9" t="s">
        <v>785</v>
      </c>
      <c r="B399" s="17" t="s">
        <v>786</v>
      </c>
      <c r="C399" s="18">
        <f t="shared" si="26"/>
        <v>192931.18</v>
      </c>
      <c r="D399" s="18"/>
      <c r="E399" s="18">
        <v>192931.18</v>
      </c>
      <c r="F399" s="18"/>
      <c r="G399" s="18"/>
      <c r="H399" s="18"/>
      <c r="I399" s="18"/>
      <c r="J399" s="18"/>
      <c r="K399" s="18"/>
      <c r="L399" s="10"/>
      <c r="M399" s="18"/>
      <c r="N399" s="10"/>
      <c r="O399" s="18"/>
      <c r="P399" s="18"/>
      <c r="Q399" s="18"/>
      <c r="R399" s="18"/>
      <c r="S399" s="18"/>
    </row>
    <row r="400" spans="1:19" x14ac:dyDescent="0.25">
      <c r="A400" s="9" t="s">
        <v>787</v>
      </c>
      <c r="B400" s="17" t="s">
        <v>788</v>
      </c>
      <c r="C400" s="18">
        <f t="shared" si="26"/>
        <v>1249577.6499999999</v>
      </c>
      <c r="D400" s="18"/>
      <c r="E400" s="18">
        <v>1249577.6499999999</v>
      </c>
      <c r="F400" s="18"/>
      <c r="G400" s="18"/>
      <c r="H400" s="18"/>
      <c r="I400" s="18"/>
      <c r="J400" s="18"/>
      <c r="K400" s="18"/>
      <c r="L400" s="10"/>
      <c r="M400" s="18"/>
      <c r="N400" s="10"/>
      <c r="O400" s="18"/>
      <c r="P400" s="18"/>
      <c r="Q400" s="18"/>
      <c r="R400" s="18"/>
      <c r="S400" s="18"/>
    </row>
    <row r="401" spans="1:19" ht="30.75" customHeight="1" x14ac:dyDescent="0.25">
      <c r="A401" s="33"/>
      <c r="B401" s="33" t="s">
        <v>789</v>
      </c>
      <c r="C401" s="18">
        <f>ROUND(D401+E401+F401+G401+H401+I401+J401+K401+M401+O401+P401+Q401+R401+S401,2)</f>
        <v>15546303.699999999</v>
      </c>
      <c r="D401" s="18">
        <f t="shared" ref="D401:S401" si="27">SUM(D387:D400)</f>
        <v>229688.53</v>
      </c>
      <c r="E401" s="18">
        <f t="shared" si="27"/>
        <v>4286759.26</v>
      </c>
      <c r="F401" s="18">
        <f t="shared" si="27"/>
        <v>0</v>
      </c>
      <c r="G401" s="18">
        <f t="shared" si="27"/>
        <v>0</v>
      </c>
      <c r="H401" s="18">
        <f t="shared" si="27"/>
        <v>0</v>
      </c>
      <c r="I401" s="18">
        <f t="shared" si="27"/>
        <v>0</v>
      </c>
      <c r="J401" s="18">
        <f t="shared" si="27"/>
        <v>0</v>
      </c>
      <c r="K401" s="18">
        <f t="shared" si="27"/>
        <v>0</v>
      </c>
      <c r="L401" s="10">
        <f t="shared" si="27"/>
        <v>5</v>
      </c>
      <c r="M401" s="18">
        <f t="shared" si="27"/>
        <v>11029855.91</v>
      </c>
      <c r="N401" s="18" t="s">
        <v>42</v>
      </c>
      <c r="O401" s="18">
        <f t="shared" si="27"/>
        <v>0</v>
      </c>
      <c r="P401" s="18">
        <f t="shared" si="27"/>
        <v>0</v>
      </c>
      <c r="Q401" s="18">
        <f t="shared" si="27"/>
        <v>0</v>
      </c>
      <c r="R401" s="18">
        <f t="shared" si="27"/>
        <v>0</v>
      </c>
      <c r="S401" s="18">
        <f t="shared" si="27"/>
        <v>0</v>
      </c>
    </row>
    <row r="402" spans="1:19" ht="15" customHeight="1" x14ac:dyDescent="0.25">
      <c r="A402" s="34"/>
      <c r="B402" s="34" t="s">
        <v>790</v>
      </c>
      <c r="C402" s="19"/>
      <c r="D402" s="13"/>
      <c r="E402" s="13"/>
      <c r="F402" s="13"/>
      <c r="G402" s="13"/>
      <c r="H402" s="13"/>
      <c r="I402" s="13"/>
      <c r="J402" s="13"/>
      <c r="K402" s="13"/>
      <c r="L402" s="14"/>
      <c r="M402" s="13"/>
      <c r="N402" s="14"/>
      <c r="O402" s="13"/>
      <c r="P402" s="13"/>
      <c r="Q402" s="13"/>
      <c r="R402" s="13"/>
      <c r="S402" s="13"/>
    </row>
    <row r="403" spans="1:19" x14ac:dyDescent="0.25">
      <c r="A403" s="9" t="s">
        <v>791</v>
      </c>
      <c r="B403" s="17" t="s">
        <v>792</v>
      </c>
      <c r="C403" s="18">
        <f t="shared" ref="C403:C427" si="28">ROUNDUP(SUM(D403+E403+F403+G403+H403+I403+J403+K403+M403+O403+P403+Q403+R403+S403),2)</f>
        <v>589423.5</v>
      </c>
      <c r="D403" s="18"/>
      <c r="E403" s="18">
        <v>589423.5</v>
      </c>
      <c r="F403" s="18"/>
      <c r="G403" s="18"/>
      <c r="H403" s="18"/>
      <c r="I403" s="18"/>
      <c r="J403" s="18"/>
      <c r="K403" s="18"/>
      <c r="L403" s="10"/>
      <c r="M403" s="18"/>
      <c r="N403" s="10"/>
      <c r="O403" s="18"/>
      <c r="P403" s="18"/>
      <c r="Q403" s="18"/>
      <c r="R403" s="18"/>
      <c r="S403" s="18"/>
    </row>
    <row r="404" spans="1:19" x14ac:dyDescent="0.25">
      <c r="A404" s="9" t="s">
        <v>793</v>
      </c>
      <c r="B404" s="17" t="s">
        <v>794</v>
      </c>
      <c r="C404" s="18">
        <f t="shared" si="28"/>
        <v>593505.21</v>
      </c>
      <c r="D404" s="18"/>
      <c r="E404" s="18">
        <v>593505.21</v>
      </c>
      <c r="F404" s="18"/>
      <c r="G404" s="18"/>
      <c r="H404" s="18"/>
      <c r="I404" s="18"/>
      <c r="J404" s="18"/>
      <c r="K404" s="18"/>
      <c r="L404" s="10"/>
      <c r="M404" s="18"/>
      <c r="N404" s="10"/>
      <c r="O404" s="18"/>
      <c r="P404" s="18"/>
      <c r="Q404" s="18"/>
      <c r="R404" s="18"/>
      <c r="S404" s="18"/>
    </row>
    <row r="405" spans="1:19" x14ac:dyDescent="0.25">
      <c r="A405" s="9" t="s">
        <v>795</v>
      </c>
      <c r="B405" s="17" t="s">
        <v>796</v>
      </c>
      <c r="C405" s="18">
        <f t="shared" si="28"/>
        <v>712553.01</v>
      </c>
      <c r="D405" s="18"/>
      <c r="E405" s="18">
        <v>712553.01</v>
      </c>
      <c r="F405" s="18"/>
      <c r="G405" s="18"/>
      <c r="H405" s="18"/>
      <c r="I405" s="18"/>
      <c r="J405" s="18"/>
      <c r="K405" s="18"/>
      <c r="L405" s="10"/>
      <c r="M405" s="18"/>
      <c r="N405" s="10"/>
      <c r="O405" s="18"/>
      <c r="P405" s="18"/>
      <c r="Q405" s="18"/>
      <c r="R405" s="18"/>
      <c r="S405" s="18"/>
    </row>
    <row r="406" spans="1:19" x14ac:dyDescent="0.25">
      <c r="A406" s="9" t="s">
        <v>797</v>
      </c>
      <c r="B406" s="17" t="s">
        <v>798</v>
      </c>
      <c r="C406" s="18">
        <f t="shared" si="28"/>
        <v>151841.54999999999</v>
      </c>
      <c r="D406" s="18"/>
      <c r="E406" s="18">
        <v>151841.54999999999</v>
      </c>
      <c r="F406" s="18"/>
      <c r="G406" s="18"/>
      <c r="H406" s="18"/>
      <c r="I406" s="18"/>
      <c r="J406" s="18"/>
      <c r="K406" s="18"/>
      <c r="L406" s="10"/>
      <c r="M406" s="18"/>
      <c r="N406" s="10"/>
      <c r="O406" s="18"/>
      <c r="P406" s="18"/>
      <c r="Q406" s="18"/>
      <c r="R406" s="18"/>
      <c r="S406" s="18"/>
    </row>
    <row r="407" spans="1:19" x14ac:dyDescent="0.25">
      <c r="A407" s="9" t="s">
        <v>799</v>
      </c>
      <c r="B407" s="17" t="s">
        <v>800</v>
      </c>
      <c r="C407" s="18">
        <f t="shared" si="28"/>
        <v>286278.65000000002</v>
      </c>
      <c r="D407" s="18"/>
      <c r="E407" s="18">
        <v>286278.65000000002</v>
      </c>
      <c r="F407" s="18"/>
      <c r="G407" s="18"/>
      <c r="H407" s="18"/>
      <c r="I407" s="18"/>
      <c r="J407" s="18"/>
      <c r="K407" s="18"/>
      <c r="L407" s="10"/>
      <c r="M407" s="18"/>
      <c r="N407" s="10"/>
      <c r="O407" s="18"/>
      <c r="P407" s="18"/>
      <c r="Q407" s="18"/>
      <c r="R407" s="18"/>
      <c r="S407" s="18"/>
    </row>
    <row r="408" spans="1:19" x14ac:dyDescent="0.25">
      <c r="A408" s="9" t="s">
        <v>801</v>
      </c>
      <c r="B408" s="17" t="s">
        <v>802</v>
      </c>
      <c r="C408" s="18">
        <f t="shared" si="28"/>
        <v>171831.52</v>
      </c>
      <c r="D408" s="18"/>
      <c r="E408" s="18">
        <v>171831.52</v>
      </c>
      <c r="F408" s="18"/>
      <c r="G408" s="18"/>
      <c r="H408" s="18"/>
      <c r="I408" s="18"/>
      <c r="J408" s="18"/>
      <c r="K408" s="18"/>
      <c r="L408" s="10"/>
      <c r="M408" s="18"/>
      <c r="N408" s="10"/>
      <c r="O408" s="18"/>
      <c r="P408" s="18"/>
      <c r="Q408" s="18"/>
      <c r="R408" s="18"/>
      <c r="S408" s="18"/>
    </row>
    <row r="409" spans="1:19" x14ac:dyDescent="0.25">
      <c r="A409" s="9" t="s">
        <v>803</v>
      </c>
      <c r="B409" s="17" t="s">
        <v>804</v>
      </c>
      <c r="C409" s="18">
        <f t="shared" si="28"/>
        <v>402205.96</v>
      </c>
      <c r="D409" s="18"/>
      <c r="E409" s="18">
        <v>402205.96</v>
      </c>
      <c r="F409" s="18"/>
      <c r="G409" s="18"/>
      <c r="H409" s="18"/>
      <c r="I409" s="18"/>
      <c r="J409" s="18"/>
      <c r="K409" s="18"/>
      <c r="L409" s="10"/>
      <c r="M409" s="18"/>
      <c r="N409" s="10"/>
      <c r="O409" s="18"/>
      <c r="P409" s="18"/>
      <c r="Q409" s="18"/>
      <c r="R409" s="18"/>
      <c r="S409" s="18"/>
    </row>
    <row r="410" spans="1:19" x14ac:dyDescent="0.25">
      <c r="A410" s="9" t="s">
        <v>805</v>
      </c>
      <c r="B410" s="17" t="s">
        <v>806</v>
      </c>
      <c r="C410" s="18">
        <f t="shared" si="28"/>
        <v>81335.02</v>
      </c>
      <c r="D410" s="18"/>
      <c r="E410" s="18">
        <v>81335.02</v>
      </c>
      <c r="F410" s="18"/>
      <c r="G410" s="18"/>
      <c r="H410" s="18"/>
      <c r="I410" s="18"/>
      <c r="J410" s="18"/>
      <c r="K410" s="18"/>
      <c r="L410" s="10"/>
      <c r="M410" s="18"/>
      <c r="N410" s="10"/>
      <c r="O410" s="18"/>
      <c r="P410" s="18"/>
      <c r="Q410" s="18"/>
      <c r="R410" s="18"/>
      <c r="S410" s="18"/>
    </row>
    <row r="411" spans="1:19" x14ac:dyDescent="0.25">
      <c r="A411" s="9" t="s">
        <v>807</v>
      </c>
      <c r="B411" s="17" t="s">
        <v>808</v>
      </c>
      <c r="C411" s="18">
        <f t="shared" si="28"/>
        <v>99122.16</v>
      </c>
      <c r="D411" s="18"/>
      <c r="E411" s="18">
        <v>99122.16</v>
      </c>
      <c r="F411" s="18"/>
      <c r="G411" s="18"/>
      <c r="H411" s="18"/>
      <c r="I411" s="18"/>
      <c r="J411" s="18"/>
      <c r="K411" s="18"/>
      <c r="L411" s="10"/>
      <c r="M411" s="18"/>
      <c r="N411" s="10"/>
      <c r="O411" s="18"/>
      <c r="P411" s="18"/>
      <c r="Q411" s="18"/>
      <c r="R411" s="18"/>
      <c r="S411" s="18"/>
    </row>
    <row r="412" spans="1:19" x14ac:dyDescent="0.25">
      <c r="A412" s="9" t="s">
        <v>809</v>
      </c>
      <c r="B412" s="17" t="s">
        <v>810</v>
      </c>
      <c r="C412" s="18">
        <f t="shared" si="28"/>
        <v>315791.14</v>
      </c>
      <c r="D412" s="18"/>
      <c r="E412" s="18">
        <v>315791.14</v>
      </c>
      <c r="F412" s="18"/>
      <c r="G412" s="18"/>
      <c r="H412" s="18"/>
      <c r="I412" s="18"/>
      <c r="J412" s="18"/>
      <c r="K412" s="18"/>
      <c r="L412" s="10"/>
      <c r="M412" s="18"/>
      <c r="N412" s="10"/>
      <c r="O412" s="18"/>
      <c r="P412" s="18"/>
      <c r="Q412" s="18"/>
      <c r="R412" s="18"/>
      <c r="S412" s="18"/>
    </row>
    <row r="413" spans="1:19" x14ac:dyDescent="0.25">
      <c r="A413" s="9" t="s">
        <v>811</v>
      </c>
      <c r="B413" s="17" t="s">
        <v>812</v>
      </c>
      <c r="C413" s="18">
        <f t="shared" si="28"/>
        <v>253835.53</v>
      </c>
      <c r="D413" s="18"/>
      <c r="E413" s="18">
        <v>253835.53</v>
      </c>
      <c r="F413" s="18"/>
      <c r="G413" s="18"/>
      <c r="H413" s="18"/>
      <c r="I413" s="18"/>
      <c r="J413" s="18"/>
      <c r="K413" s="18"/>
      <c r="L413" s="10"/>
      <c r="M413" s="18"/>
      <c r="N413" s="10"/>
      <c r="O413" s="18"/>
      <c r="P413" s="18"/>
      <c r="Q413" s="18"/>
      <c r="R413" s="18"/>
      <c r="S413" s="18"/>
    </row>
    <row r="414" spans="1:19" x14ac:dyDescent="0.25">
      <c r="A414" s="9" t="s">
        <v>813</v>
      </c>
      <c r="B414" s="17" t="s">
        <v>814</v>
      </c>
      <c r="C414" s="18">
        <f t="shared" si="28"/>
        <v>277386.92</v>
      </c>
      <c r="D414" s="18"/>
      <c r="E414" s="18">
        <v>277386.92</v>
      </c>
      <c r="F414" s="18"/>
      <c r="G414" s="18"/>
      <c r="H414" s="18"/>
      <c r="I414" s="18"/>
      <c r="J414" s="18"/>
      <c r="K414" s="18"/>
      <c r="L414" s="10"/>
      <c r="M414" s="18"/>
      <c r="N414" s="10"/>
      <c r="O414" s="18"/>
      <c r="P414" s="18"/>
      <c r="Q414" s="18"/>
      <c r="R414" s="18"/>
      <c r="S414" s="18"/>
    </row>
    <row r="415" spans="1:19" x14ac:dyDescent="0.25">
      <c r="A415" s="9" t="s">
        <v>815</v>
      </c>
      <c r="B415" s="17" t="s">
        <v>816</v>
      </c>
      <c r="C415" s="18">
        <f t="shared" si="28"/>
        <v>280150.05</v>
      </c>
      <c r="D415" s="18"/>
      <c r="E415" s="18">
        <v>280150.05</v>
      </c>
      <c r="F415" s="18"/>
      <c r="G415" s="18"/>
      <c r="H415" s="18"/>
      <c r="I415" s="18"/>
      <c r="J415" s="18"/>
      <c r="K415" s="18"/>
      <c r="L415" s="10"/>
      <c r="M415" s="18"/>
      <c r="N415" s="10"/>
      <c r="O415" s="18"/>
      <c r="P415" s="18"/>
      <c r="Q415" s="18"/>
      <c r="R415" s="18"/>
      <c r="S415" s="18"/>
    </row>
    <row r="416" spans="1:19" x14ac:dyDescent="0.25">
      <c r="A416" s="9" t="s">
        <v>817</v>
      </c>
      <c r="B416" s="17" t="s">
        <v>818</v>
      </c>
      <c r="C416" s="18">
        <f t="shared" si="28"/>
        <v>159340.53</v>
      </c>
      <c r="D416" s="18"/>
      <c r="E416" s="18">
        <v>159340.53</v>
      </c>
      <c r="F416" s="18"/>
      <c r="G416" s="18"/>
      <c r="H416" s="18"/>
      <c r="I416" s="18"/>
      <c r="J416" s="18"/>
      <c r="K416" s="18"/>
      <c r="L416" s="10"/>
      <c r="M416" s="18"/>
      <c r="N416" s="10"/>
      <c r="O416" s="18"/>
      <c r="P416" s="18"/>
      <c r="Q416" s="18"/>
      <c r="R416" s="18"/>
      <c r="S416" s="18"/>
    </row>
    <row r="417" spans="1:19" x14ac:dyDescent="0.25">
      <c r="A417" s="9" t="s">
        <v>819</v>
      </c>
      <c r="B417" s="17" t="s">
        <v>820</v>
      </c>
      <c r="C417" s="18">
        <f t="shared" si="28"/>
        <v>233735.08</v>
      </c>
      <c r="D417" s="18"/>
      <c r="E417" s="18">
        <v>233735.08</v>
      </c>
      <c r="F417" s="18"/>
      <c r="G417" s="18"/>
      <c r="H417" s="18"/>
      <c r="I417" s="18"/>
      <c r="J417" s="18"/>
      <c r="K417" s="18"/>
      <c r="L417" s="10"/>
      <c r="M417" s="18"/>
      <c r="N417" s="10"/>
      <c r="O417" s="18"/>
      <c r="P417" s="18"/>
      <c r="Q417" s="18"/>
      <c r="R417" s="18"/>
      <c r="S417" s="18"/>
    </row>
    <row r="418" spans="1:19" x14ac:dyDescent="0.25">
      <c r="A418" s="9" t="s">
        <v>821</v>
      </c>
      <c r="B418" s="17" t="s">
        <v>822</v>
      </c>
      <c r="C418" s="18">
        <f t="shared" si="28"/>
        <v>439555.9</v>
      </c>
      <c r="D418" s="18"/>
      <c r="E418" s="18">
        <v>439555.9</v>
      </c>
      <c r="F418" s="18"/>
      <c r="G418" s="18"/>
      <c r="H418" s="18"/>
      <c r="I418" s="18"/>
      <c r="J418" s="18"/>
      <c r="K418" s="18"/>
      <c r="L418" s="10"/>
      <c r="M418" s="18"/>
      <c r="N418" s="10"/>
      <c r="O418" s="18"/>
      <c r="P418" s="18"/>
      <c r="Q418" s="18"/>
      <c r="R418" s="18"/>
      <c r="S418" s="18"/>
    </row>
    <row r="419" spans="1:19" x14ac:dyDescent="0.25">
      <c r="A419" s="9" t="s">
        <v>823</v>
      </c>
      <c r="B419" s="17" t="s">
        <v>824</v>
      </c>
      <c r="C419" s="18">
        <f t="shared" si="28"/>
        <v>159071.57999999999</v>
      </c>
      <c r="D419" s="18"/>
      <c r="E419" s="18">
        <v>159071.57999999999</v>
      </c>
      <c r="F419" s="18"/>
      <c r="G419" s="18"/>
      <c r="H419" s="18"/>
      <c r="I419" s="18"/>
      <c r="J419" s="18"/>
      <c r="K419" s="18"/>
      <c r="L419" s="10"/>
      <c r="M419" s="18"/>
      <c r="N419" s="10"/>
      <c r="O419" s="18"/>
      <c r="P419" s="18"/>
      <c r="Q419" s="18"/>
      <c r="R419" s="18"/>
      <c r="S419" s="18"/>
    </row>
    <row r="420" spans="1:19" x14ac:dyDescent="0.25">
      <c r="A420" s="9" t="s">
        <v>825</v>
      </c>
      <c r="B420" s="17" t="s">
        <v>826</v>
      </c>
      <c r="C420" s="18">
        <f t="shared" si="28"/>
        <v>211909.71</v>
      </c>
      <c r="D420" s="18"/>
      <c r="E420" s="18">
        <v>211909.71</v>
      </c>
      <c r="F420" s="18"/>
      <c r="G420" s="18"/>
      <c r="H420" s="18"/>
      <c r="I420" s="18"/>
      <c r="J420" s="18"/>
      <c r="K420" s="18"/>
      <c r="L420" s="10"/>
      <c r="M420" s="18"/>
      <c r="N420" s="10"/>
      <c r="O420" s="18"/>
      <c r="P420" s="18"/>
      <c r="Q420" s="18"/>
      <c r="R420" s="18"/>
      <c r="S420" s="18"/>
    </row>
    <row r="421" spans="1:19" x14ac:dyDescent="0.25">
      <c r="A421" s="9" t="s">
        <v>827</v>
      </c>
      <c r="B421" s="17" t="s">
        <v>828</v>
      </c>
      <c r="C421" s="18">
        <f t="shared" si="28"/>
        <v>489579.43</v>
      </c>
      <c r="D421" s="18"/>
      <c r="E421" s="18">
        <v>489579.43</v>
      </c>
      <c r="F421" s="18"/>
      <c r="G421" s="18"/>
      <c r="H421" s="18"/>
      <c r="I421" s="18"/>
      <c r="J421" s="18"/>
      <c r="K421" s="18"/>
      <c r="L421" s="10"/>
      <c r="M421" s="18"/>
      <c r="N421" s="10"/>
      <c r="O421" s="18"/>
      <c r="P421" s="18"/>
      <c r="Q421" s="18"/>
      <c r="R421" s="18"/>
      <c r="S421" s="18"/>
    </row>
    <row r="422" spans="1:19" x14ac:dyDescent="0.25">
      <c r="A422" s="9" t="s">
        <v>829</v>
      </c>
      <c r="B422" s="17" t="s">
        <v>830</v>
      </c>
      <c r="C422" s="18">
        <f t="shared" si="28"/>
        <v>269569.21999999997</v>
      </c>
      <c r="D422" s="18"/>
      <c r="E422" s="18">
        <v>269569.21999999997</v>
      </c>
      <c r="F422" s="18"/>
      <c r="G422" s="18"/>
      <c r="H422" s="18"/>
      <c r="I422" s="18"/>
      <c r="J422" s="18"/>
      <c r="K422" s="18"/>
      <c r="L422" s="10"/>
      <c r="M422" s="18"/>
      <c r="N422" s="10"/>
      <c r="O422" s="18"/>
      <c r="P422" s="18"/>
      <c r="Q422" s="18"/>
      <c r="R422" s="18"/>
      <c r="S422" s="18"/>
    </row>
    <row r="423" spans="1:19" x14ac:dyDescent="0.25">
      <c r="A423" s="9" t="s">
        <v>831</v>
      </c>
      <c r="B423" s="17" t="s">
        <v>832</v>
      </c>
      <c r="C423" s="18">
        <f t="shared" si="28"/>
        <v>450185.63</v>
      </c>
      <c r="D423" s="18"/>
      <c r="E423" s="18">
        <v>450185.63</v>
      </c>
      <c r="F423" s="18"/>
      <c r="G423" s="18"/>
      <c r="H423" s="18"/>
      <c r="I423" s="18"/>
      <c r="J423" s="18"/>
      <c r="K423" s="18"/>
      <c r="L423" s="10"/>
      <c r="M423" s="18"/>
      <c r="N423" s="10"/>
      <c r="O423" s="18"/>
      <c r="P423" s="18"/>
      <c r="Q423" s="18"/>
      <c r="R423" s="18"/>
      <c r="S423" s="18"/>
    </row>
    <row r="424" spans="1:19" x14ac:dyDescent="0.25">
      <c r="A424" s="9" t="s">
        <v>833</v>
      </c>
      <c r="B424" s="17" t="s">
        <v>834</v>
      </c>
      <c r="C424" s="18">
        <f t="shared" si="28"/>
        <v>141585.49</v>
      </c>
      <c r="D424" s="18"/>
      <c r="E424" s="18">
        <v>141585.49</v>
      </c>
      <c r="F424" s="18"/>
      <c r="G424" s="18"/>
      <c r="H424" s="18"/>
      <c r="I424" s="18"/>
      <c r="J424" s="18"/>
      <c r="K424" s="18"/>
      <c r="L424" s="10"/>
      <c r="M424" s="18"/>
      <c r="N424" s="10"/>
      <c r="O424" s="18"/>
      <c r="P424" s="18"/>
      <c r="Q424" s="18"/>
      <c r="R424" s="18"/>
      <c r="S424" s="18"/>
    </row>
    <row r="425" spans="1:19" x14ac:dyDescent="0.25">
      <c r="A425" s="9" t="s">
        <v>835</v>
      </c>
      <c r="B425" s="17" t="s">
        <v>836</v>
      </c>
      <c r="C425" s="18">
        <f t="shared" si="28"/>
        <v>228089.54</v>
      </c>
      <c r="D425" s="18"/>
      <c r="E425" s="18">
        <v>228089.54</v>
      </c>
      <c r="F425" s="18"/>
      <c r="G425" s="18"/>
      <c r="H425" s="18"/>
      <c r="I425" s="18"/>
      <c r="J425" s="18"/>
      <c r="K425" s="18"/>
      <c r="L425" s="10"/>
      <c r="M425" s="18"/>
      <c r="N425" s="10"/>
      <c r="O425" s="18"/>
      <c r="P425" s="18"/>
      <c r="Q425" s="18"/>
      <c r="R425" s="18"/>
      <c r="S425" s="18"/>
    </row>
    <row r="426" spans="1:19" x14ac:dyDescent="0.25">
      <c r="A426" s="9" t="s">
        <v>837</v>
      </c>
      <c r="B426" s="17" t="s">
        <v>838</v>
      </c>
      <c r="C426" s="18">
        <f t="shared" si="28"/>
        <v>217526.74</v>
      </c>
      <c r="D426" s="18"/>
      <c r="E426" s="18">
        <v>217526.74</v>
      </c>
      <c r="F426" s="18"/>
      <c r="G426" s="18"/>
      <c r="H426" s="18"/>
      <c r="I426" s="18"/>
      <c r="J426" s="18"/>
      <c r="K426" s="18"/>
      <c r="L426" s="10"/>
      <c r="M426" s="18"/>
      <c r="N426" s="10"/>
      <c r="O426" s="18"/>
      <c r="P426" s="18"/>
      <c r="Q426" s="18"/>
      <c r="R426" s="18"/>
      <c r="S426" s="18"/>
    </row>
    <row r="427" spans="1:19" x14ac:dyDescent="0.25">
      <c r="A427" s="9" t="s">
        <v>839</v>
      </c>
      <c r="B427" s="17" t="s">
        <v>840</v>
      </c>
      <c r="C427" s="18">
        <f t="shared" si="28"/>
        <v>132599.28</v>
      </c>
      <c r="D427" s="18"/>
      <c r="E427" s="18">
        <v>132599.28</v>
      </c>
      <c r="F427" s="18"/>
      <c r="G427" s="18"/>
      <c r="H427" s="18"/>
      <c r="I427" s="18"/>
      <c r="J427" s="18"/>
      <c r="K427" s="18"/>
      <c r="L427" s="10"/>
      <c r="M427" s="18"/>
      <c r="N427" s="10"/>
      <c r="O427" s="18"/>
      <c r="P427" s="18"/>
      <c r="Q427" s="18"/>
      <c r="R427" s="18"/>
      <c r="S427" s="18"/>
    </row>
    <row r="428" spans="1:19" x14ac:dyDescent="0.25">
      <c r="A428" s="9" t="s">
        <v>841</v>
      </c>
      <c r="B428" s="35" t="s">
        <v>842</v>
      </c>
      <c r="C428" s="36">
        <f>ROUND(SUM(D428+E428+F428+G428+H428+I428+J428+K428+M428+O428+P428+Q428+R428+S428),2)</f>
        <v>754249.29</v>
      </c>
      <c r="D428" s="36">
        <v>10774.98</v>
      </c>
      <c r="E428" s="36"/>
      <c r="F428" s="36">
        <v>743474.31</v>
      </c>
      <c r="G428" s="36"/>
      <c r="H428" s="36"/>
      <c r="I428" s="36"/>
      <c r="J428" s="36"/>
      <c r="K428" s="36"/>
      <c r="L428" s="10"/>
      <c r="M428" s="36"/>
      <c r="N428" s="37"/>
      <c r="O428" s="36"/>
      <c r="P428" s="36"/>
      <c r="Q428" s="36"/>
      <c r="R428" s="36"/>
      <c r="S428" s="36"/>
    </row>
    <row r="429" spans="1:19" x14ac:dyDescent="0.25">
      <c r="A429" s="9" t="s">
        <v>843</v>
      </c>
      <c r="B429" s="17" t="s">
        <v>844</v>
      </c>
      <c r="C429" s="18">
        <f t="shared" ref="C429:C444" si="29">ROUNDUP(SUM(D429+E429+F429+G429+H429+I429+J429+K429+M429+O429+P429+Q429+R429+S429),2)</f>
        <v>66166.25</v>
      </c>
      <c r="D429" s="18"/>
      <c r="E429" s="18">
        <v>66166.25</v>
      </c>
      <c r="F429" s="18"/>
      <c r="G429" s="18"/>
      <c r="H429" s="18"/>
      <c r="I429" s="18"/>
      <c r="J429" s="18"/>
      <c r="K429" s="18"/>
      <c r="L429" s="10"/>
      <c r="M429" s="18"/>
      <c r="N429" s="10"/>
      <c r="O429" s="18"/>
      <c r="P429" s="18"/>
      <c r="Q429" s="18"/>
      <c r="R429" s="18"/>
      <c r="S429" s="18"/>
    </row>
    <row r="430" spans="1:19" x14ac:dyDescent="0.25">
      <c r="A430" s="9" t="s">
        <v>845</v>
      </c>
      <c r="B430" s="17" t="s">
        <v>846</v>
      </c>
      <c r="C430" s="18">
        <f t="shared" si="29"/>
        <v>40950.81</v>
      </c>
      <c r="D430" s="18"/>
      <c r="E430" s="18">
        <v>40950.81</v>
      </c>
      <c r="F430" s="18"/>
      <c r="G430" s="18"/>
      <c r="H430" s="18"/>
      <c r="I430" s="18"/>
      <c r="J430" s="18"/>
      <c r="K430" s="18"/>
      <c r="L430" s="10"/>
      <c r="M430" s="18"/>
      <c r="N430" s="10"/>
      <c r="O430" s="18"/>
      <c r="P430" s="18"/>
      <c r="Q430" s="18"/>
      <c r="R430" s="18"/>
      <c r="S430" s="18"/>
    </row>
    <row r="431" spans="1:19" x14ac:dyDescent="0.25">
      <c r="A431" s="9" t="s">
        <v>847</v>
      </c>
      <c r="B431" s="17" t="s">
        <v>848</v>
      </c>
      <c r="C431" s="18">
        <f t="shared" si="29"/>
        <v>92618.64</v>
      </c>
      <c r="D431" s="18"/>
      <c r="E431" s="18">
        <v>92618.64</v>
      </c>
      <c r="F431" s="18"/>
      <c r="G431" s="18"/>
      <c r="H431" s="18"/>
      <c r="I431" s="18"/>
      <c r="J431" s="18"/>
      <c r="K431" s="18"/>
      <c r="L431" s="10"/>
      <c r="M431" s="18"/>
      <c r="N431" s="10"/>
      <c r="O431" s="18"/>
      <c r="P431" s="18"/>
      <c r="Q431" s="18"/>
      <c r="R431" s="18"/>
      <c r="S431" s="18"/>
    </row>
    <row r="432" spans="1:19" x14ac:dyDescent="0.25">
      <c r="A432" s="9" t="s">
        <v>849</v>
      </c>
      <c r="B432" s="17" t="s">
        <v>850</v>
      </c>
      <c r="C432" s="18">
        <f t="shared" si="29"/>
        <v>38464.07</v>
      </c>
      <c r="D432" s="18"/>
      <c r="E432" s="18">
        <v>38464.07</v>
      </c>
      <c r="F432" s="18"/>
      <c r="G432" s="18"/>
      <c r="H432" s="18"/>
      <c r="I432" s="18"/>
      <c r="J432" s="18"/>
      <c r="K432" s="18"/>
      <c r="L432" s="10"/>
      <c r="M432" s="18"/>
      <c r="N432" s="10"/>
      <c r="O432" s="18"/>
      <c r="P432" s="18"/>
      <c r="Q432" s="18"/>
      <c r="R432" s="18"/>
      <c r="S432" s="18"/>
    </row>
    <row r="433" spans="1:19" ht="18.75" customHeight="1" x14ac:dyDescent="0.25">
      <c r="A433" s="9" t="s">
        <v>851</v>
      </c>
      <c r="B433" s="17" t="s">
        <v>852</v>
      </c>
      <c r="C433" s="18">
        <f t="shared" si="29"/>
        <v>177089.21</v>
      </c>
      <c r="D433" s="18"/>
      <c r="E433" s="18">
        <v>177089.21</v>
      </c>
      <c r="F433" s="18"/>
      <c r="G433" s="18"/>
      <c r="H433" s="18"/>
      <c r="I433" s="18"/>
      <c r="J433" s="18"/>
      <c r="K433" s="18"/>
      <c r="L433" s="10"/>
      <c r="M433" s="18"/>
      <c r="N433" s="10"/>
      <c r="O433" s="18"/>
      <c r="P433" s="18"/>
      <c r="Q433" s="18"/>
      <c r="R433" s="18"/>
      <c r="S433" s="18"/>
    </row>
    <row r="434" spans="1:19" x14ac:dyDescent="0.25">
      <c r="A434" s="9" t="s">
        <v>853</v>
      </c>
      <c r="B434" s="17" t="s">
        <v>854</v>
      </c>
      <c r="C434" s="18">
        <f t="shared" si="29"/>
        <v>166019.98000000001</v>
      </c>
      <c r="D434" s="18"/>
      <c r="E434" s="18">
        <v>166019.98000000001</v>
      </c>
      <c r="F434" s="18"/>
      <c r="G434" s="18"/>
      <c r="H434" s="18"/>
      <c r="I434" s="18"/>
      <c r="J434" s="18"/>
      <c r="K434" s="18"/>
      <c r="L434" s="10"/>
      <c r="M434" s="18"/>
      <c r="N434" s="10"/>
      <c r="O434" s="18"/>
      <c r="P434" s="18"/>
      <c r="Q434" s="18"/>
      <c r="R434" s="18"/>
      <c r="S434" s="18"/>
    </row>
    <row r="435" spans="1:19" x14ac:dyDescent="0.25">
      <c r="A435" s="9" t="s">
        <v>855</v>
      </c>
      <c r="B435" s="17" t="s">
        <v>856</v>
      </c>
      <c r="C435" s="18">
        <f t="shared" si="29"/>
        <v>169334.02</v>
      </c>
      <c r="D435" s="18"/>
      <c r="E435" s="18">
        <v>169334.02</v>
      </c>
      <c r="F435" s="18"/>
      <c r="G435" s="18"/>
      <c r="H435" s="18"/>
      <c r="I435" s="18"/>
      <c r="J435" s="18"/>
      <c r="K435" s="18"/>
      <c r="L435" s="10"/>
      <c r="M435" s="18"/>
      <c r="N435" s="10"/>
      <c r="O435" s="18"/>
      <c r="P435" s="18"/>
      <c r="Q435" s="18"/>
      <c r="R435" s="18"/>
      <c r="S435" s="18"/>
    </row>
    <row r="436" spans="1:19" x14ac:dyDescent="0.25">
      <c r="A436" s="9" t="s">
        <v>857</v>
      </c>
      <c r="B436" s="17" t="s">
        <v>858</v>
      </c>
      <c r="C436" s="18">
        <f t="shared" si="29"/>
        <v>97665.47</v>
      </c>
      <c r="D436" s="18"/>
      <c r="E436" s="18">
        <v>97665.47</v>
      </c>
      <c r="F436" s="18"/>
      <c r="G436" s="18"/>
      <c r="H436" s="18"/>
      <c r="I436" s="18"/>
      <c r="J436" s="18"/>
      <c r="K436" s="18"/>
      <c r="L436" s="10"/>
      <c r="M436" s="18"/>
      <c r="N436" s="10"/>
      <c r="O436" s="18"/>
      <c r="P436" s="18"/>
      <c r="Q436" s="18"/>
      <c r="R436" s="18"/>
      <c r="S436" s="18"/>
    </row>
    <row r="437" spans="1:19" x14ac:dyDescent="0.25">
      <c r="A437" s="9" t="s">
        <v>859</v>
      </c>
      <c r="B437" s="17" t="s">
        <v>860</v>
      </c>
      <c r="C437" s="18">
        <f t="shared" si="29"/>
        <v>193057.16</v>
      </c>
      <c r="D437" s="18"/>
      <c r="E437" s="18">
        <v>193057.16</v>
      </c>
      <c r="F437" s="18"/>
      <c r="G437" s="18"/>
      <c r="H437" s="18"/>
      <c r="I437" s="18"/>
      <c r="J437" s="18"/>
      <c r="K437" s="18"/>
      <c r="L437" s="10"/>
      <c r="M437" s="18"/>
      <c r="N437" s="10"/>
      <c r="O437" s="18"/>
      <c r="P437" s="18"/>
      <c r="Q437" s="18"/>
      <c r="R437" s="18"/>
      <c r="S437" s="18"/>
    </row>
    <row r="438" spans="1:19" x14ac:dyDescent="0.25">
      <c r="A438" s="9" t="s">
        <v>861</v>
      </c>
      <c r="B438" s="17" t="s">
        <v>862</v>
      </c>
      <c r="C438" s="18">
        <f t="shared" si="29"/>
        <v>229407.58</v>
      </c>
      <c r="D438" s="18"/>
      <c r="E438" s="18">
        <v>229407.58</v>
      </c>
      <c r="F438" s="18"/>
      <c r="G438" s="18"/>
      <c r="H438" s="18"/>
      <c r="I438" s="18"/>
      <c r="J438" s="18"/>
      <c r="K438" s="18"/>
      <c r="L438" s="10"/>
      <c r="M438" s="18"/>
      <c r="N438" s="10"/>
      <c r="O438" s="18"/>
      <c r="P438" s="18"/>
      <c r="Q438" s="18"/>
      <c r="R438" s="18"/>
      <c r="S438" s="18"/>
    </row>
    <row r="439" spans="1:19" x14ac:dyDescent="0.25">
      <c r="A439" s="9" t="s">
        <v>863</v>
      </c>
      <c r="B439" s="17" t="s">
        <v>864</v>
      </c>
      <c r="C439" s="18">
        <f t="shared" si="29"/>
        <v>66757.88</v>
      </c>
      <c r="D439" s="18"/>
      <c r="E439" s="18">
        <v>66757.88</v>
      </c>
      <c r="F439" s="18"/>
      <c r="G439" s="18"/>
      <c r="H439" s="18"/>
      <c r="I439" s="18"/>
      <c r="J439" s="18"/>
      <c r="K439" s="18"/>
      <c r="L439" s="10"/>
      <c r="M439" s="18"/>
      <c r="N439" s="10"/>
      <c r="O439" s="18"/>
      <c r="P439" s="18"/>
      <c r="Q439" s="18"/>
      <c r="R439" s="18"/>
      <c r="S439" s="18"/>
    </row>
    <row r="440" spans="1:19" x14ac:dyDescent="0.25">
      <c r="A440" s="9" t="s">
        <v>865</v>
      </c>
      <c r="B440" s="17" t="s">
        <v>866</v>
      </c>
      <c r="C440" s="18">
        <f t="shared" si="29"/>
        <v>223228.08</v>
      </c>
      <c r="D440" s="18"/>
      <c r="E440" s="18">
        <v>223228.08</v>
      </c>
      <c r="F440" s="18"/>
      <c r="G440" s="18"/>
      <c r="H440" s="18"/>
      <c r="I440" s="18"/>
      <c r="J440" s="18"/>
      <c r="K440" s="18"/>
      <c r="L440" s="10"/>
      <c r="M440" s="18"/>
      <c r="N440" s="10"/>
      <c r="O440" s="18"/>
      <c r="P440" s="18"/>
      <c r="Q440" s="18"/>
      <c r="R440" s="18"/>
      <c r="S440" s="18"/>
    </row>
    <row r="441" spans="1:19" x14ac:dyDescent="0.25">
      <c r="A441" s="9" t="s">
        <v>867</v>
      </c>
      <c r="B441" s="17" t="s">
        <v>868</v>
      </c>
      <c r="C441" s="18">
        <f t="shared" si="29"/>
        <v>223289.47</v>
      </c>
      <c r="D441" s="18"/>
      <c r="E441" s="18">
        <v>223289.47</v>
      </c>
      <c r="F441" s="18"/>
      <c r="G441" s="18"/>
      <c r="H441" s="18"/>
      <c r="I441" s="18"/>
      <c r="J441" s="18"/>
      <c r="K441" s="18"/>
      <c r="L441" s="10"/>
      <c r="M441" s="18"/>
      <c r="N441" s="10"/>
      <c r="O441" s="18"/>
      <c r="P441" s="18"/>
      <c r="Q441" s="18"/>
      <c r="R441" s="18"/>
      <c r="S441" s="18"/>
    </row>
    <row r="442" spans="1:19" x14ac:dyDescent="0.25">
      <c r="A442" s="9" t="s">
        <v>869</v>
      </c>
      <c r="B442" s="17" t="s">
        <v>870</v>
      </c>
      <c r="C442" s="18">
        <f t="shared" si="29"/>
        <v>226426.57</v>
      </c>
      <c r="D442" s="18"/>
      <c r="E442" s="18">
        <v>226426.57</v>
      </c>
      <c r="F442" s="18"/>
      <c r="G442" s="18"/>
      <c r="H442" s="18"/>
      <c r="I442" s="18"/>
      <c r="J442" s="18"/>
      <c r="K442" s="18"/>
      <c r="L442" s="10"/>
      <c r="M442" s="18"/>
      <c r="N442" s="10"/>
      <c r="O442" s="18"/>
      <c r="P442" s="18"/>
      <c r="Q442" s="18"/>
      <c r="R442" s="18"/>
      <c r="S442" s="18"/>
    </row>
    <row r="443" spans="1:19" x14ac:dyDescent="0.25">
      <c r="A443" s="9" t="s">
        <v>871</v>
      </c>
      <c r="B443" s="17" t="s">
        <v>872</v>
      </c>
      <c r="C443" s="18">
        <f t="shared" si="29"/>
        <v>51824.88</v>
      </c>
      <c r="D443" s="18"/>
      <c r="E443" s="18">
        <v>51824.88</v>
      </c>
      <c r="F443" s="18"/>
      <c r="G443" s="18"/>
      <c r="H443" s="18"/>
      <c r="I443" s="18"/>
      <c r="J443" s="18"/>
      <c r="K443" s="18"/>
      <c r="L443" s="10"/>
      <c r="M443" s="18"/>
      <c r="N443" s="10"/>
      <c r="O443" s="18"/>
      <c r="P443" s="18"/>
      <c r="Q443" s="18"/>
      <c r="R443" s="18"/>
      <c r="S443" s="18"/>
    </row>
    <row r="444" spans="1:19" x14ac:dyDescent="0.25">
      <c r="A444" s="9" t="s">
        <v>873</v>
      </c>
      <c r="B444" s="17" t="s">
        <v>874</v>
      </c>
      <c r="C444" s="18">
        <f t="shared" si="29"/>
        <v>35142.959999999999</v>
      </c>
      <c r="D444" s="18"/>
      <c r="E444" s="18">
        <v>35142.959999999999</v>
      </c>
      <c r="F444" s="18"/>
      <c r="G444" s="18"/>
      <c r="H444" s="18"/>
      <c r="I444" s="18"/>
      <c r="J444" s="18"/>
      <c r="K444" s="18"/>
      <c r="L444" s="10"/>
      <c r="M444" s="18"/>
      <c r="N444" s="10"/>
      <c r="O444" s="18"/>
      <c r="P444" s="18"/>
      <c r="Q444" s="18"/>
      <c r="R444" s="18"/>
      <c r="S444" s="18"/>
    </row>
    <row r="445" spans="1:19" ht="15" customHeight="1" x14ac:dyDescent="0.25">
      <c r="A445" s="33"/>
      <c r="B445" s="33" t="s">
        <v>875</v>
      </c>
      <c r="C445" s="18">
        <f>ROUND(D445+E445+F445+G445+H445+I445+J445+K445+M445+O445+P445+Q445+R445+S445,2)</f>
        <v>10199700.67</v>
      </c>
      <c r="D445" s="18">
        <f t="shared" ref="D445:S445" si="30">SUM(D403:D444)</f>
        <v>10774.98</v>
      </c>
      <c r="E445" s="18">
        <f t="shared" si="30"/>
        <v>9445451.3800000027</v>
      </c>
      <c r="F445" s="18">
        <f t="shared" si="30"/>
        <v>743474.31</v>
      </c>
      <c r="G445" s="18">
        <f t="shared" si="30"/>
        <v>0</v>
      </c>
      <c r="H445" s="18">
        <f t="shared" si="30"/>
        <v>0</v>
      </c>
      <c r="I445" s="18">
        <f t="shared" si="30"/>
        <v>0</v>
      </c>
      <c r="J445" s="18">
        <f t="shared" si="30"/>
        <v>0</v>
      </c>
      <c r="K445" s="18">
        <f t="shared" si="30"/>
        <v>0</v>
      </c>
      <c r="L445" s="10">
        <f t="shared" si="30"/>
        <v>0</v>
      </c>
      <c r="M445" s="18">
        <f t="shared" si="30"/>
        <v>0</v>
      </c>
      <c r="N445" s="18" t="s">
        <v>42</v>
      </c>
      <c r="O445" s="18">
        <f t="shared" si="30"/>
        <v>0</v>
      </c>
      <c r="P445" s="18">
        <f t="shared" si="30"/>
        <v>0</v>
      </c>
      <c r="Q445" s="18">
        <f t="shared" si="30"/>
        <v>0</v>
      </c>
      <c r="R445" s="18">
        <f t="shared" si="30"/>
        <v>0</v>
      </c>
      <c r="S445" s="18">
        <f t="shared" si="30"/>
        <v>0</v>
      </c>
    </row>
    <row r="446" spans="1:19" ht="15" customHeight="1" x14ac:dyDescent="0.25">
      <c r="A446" s="34"/>
      <c r="B446" s="34" t="s">
        <v>876</v>
      </c>
      <c r="C446" s="19"/>
      <c r="D446" s="13"/>
      <c r="E446" s="13"/>
      <c r="F446" s="13"/>
      <c r="G446" s="13"/>
      <c r="H446" s="13"/>
      <c r="I446" s="13"/>
      <c r="J446" s="13"/>
      <c r="K446" s="13"/>
      <c r="L446" s="14"/>
      <c r="M446" s="13"/>
      <c r="N446" s="14"/>
      <c r="O446" s="13"/>
      <c r="P446" s="13"/>
      <c r="Q446" s="13"/>
      <c r="R446" s="13"/>
      <c r="S446" s="13"/>
    </row>
    <row r="447" spans="1:19" x14ac:dyDescent="0.25">
      <c r="A447" s="9" t="s">
        <v>877</v>
      </c>
      <c r="B447" s="17" t="s">
        <v>878</v>
      </c>
      <c r="C447" s="18">
        <f>ROUNDUP(SUM(D447+E447+F447+G447+H447+I447+J447+K447+M447+O447+P447+Q447+R447+S447),2)</f>
        <v>111805.03</v>
      </c>
      <c r="D447" s="18"/>
      <c r="E447" s="18">
        <v>111805.03</v>
      </c>
      <c r="F447" s="18"/>
      <c r="G447" s="18"/>
      <c r="H447" s="18"/>
      <c r="I447" s="18"/>
      <c r="J447" s="18"/>
      <c r="K447" s="18"/>
      <c r="L447" s="10"/>
      <c r="M447" s="18"/>
      <c r="N447" s="10"/>
      <c r="O447" s="18"/>
      <c r="P447" s="18"/>
      <c r="Q447" s="18"/>
      <c r="R447" s="18"/>
      <c r="S447" s="18"/>
    </row>
    <row r="448" spans="1:19" x14ac:dyDescent="0.25">
      <c r="A448" s="9" t="s">
        <v>879</v>
      </c>
      <c r="B448" s="17" t="s">
        <v>880</v>
      </c>
      <c r="C448" s="18">
        <f>ROUNDUP(SUM(D448+E448+F448+G448+H448+I448+J448+K448+M448+O448+P448+Q448+R448+S448),2)</f>
        <v>14474495.609999999</v>
      </c>
      <c r="D448" s="18">
        <v>263212.93</v>
      </c>
      <c r="E448" s="18">
        <v>306743.15000000002</v>
      </c>
      <c r="F448" s="18">
        <v>3302197.86</v>
      </c>
      <c r="G448" s="18">
        <v>5202708.53</v>
      </c>
      <c r="H448" s="18">
        <v>3437264.11</v>
      </c>
      <c r="I448" s="18">
        <v>1345763.79</v>
      </c>
      <c r="J448" s="18">
        <v>616605.24</v>
      </c>
      <c r="K448" s="18"/>
      <c r="L448" s="10"/>
      <c r="M448" s="18"/>
      <c r="N448" s="10"/>
      <c r="O448" s="18"/>
      <c r="P448" s="18"/>
      <c r="Q448" s="18"/>
      <c r="R448" s="18"/>
      <c r="S448" s="18"/>
    </row>
    <row r="449" spans="1:19" x14ac:dyDescent="0.25">
      <c r="A449" s="9" t="s">
        <v>881</v>
      </c>
      <c r="B449" s="17" t="s">
        <v>882</v>
      </c>
      <c r="C449" s="18">
        <f>ROUNDUP(SUM(D449+E449+F449+G449+H449+I449+J449+K449+M449+O449+P449+Q449+R449+S449),2)</f>
        <v>2990336.89</v>
      </c>
      <c r="D449" s="18">
        <v>53180.33</v>
      </c>
      <c r="E449" s="18">
        <v>127841.51</v>
      </c>
      <c r="F449" s="18"/>
      <c r="G449" s="18"/>
      <c r="H449" s="18"/>
      <c r="I449" s="18"/>
      <c r="J449" s="18"/>
      <c r="K449" s="18"/>
      <c r="L449" s="10"/>
      <c r="M449" s="18"/>
      <c r="N449" s="10" t="s">
        <v>883</v>
      </c>
      <c r="O449" s="18">
        <v>2809315.05</v>
      </c>
      <c r="P449" s="18"/>
      <c r="Q449" s="18"/>
      <c r="R449" s="18"/>
      <c r="S449" s="18"/>
    </row>
    <row r="450" spans="1:19" x14ac:dyDescent="0.25">
      <c r="A450" s="9" t="s">
        <v>884</v>
      </c>
      <c r="B450" s="17" t="s">
        <v>885</v>
      </c>
      <c r="C450" s="18">
        <f>ROUND(SUM(D450+E450+F450+G450+H450+I450+J450+K450+M450+O450+P450+Q450+R450+S450),2)</f>
        <v>20768625.850000001</v>
      </c>
      <c r="D450" s="18">
        <v>379642.86</v>
      </c>
      <c r="E450" s="18"/>
      <c r="F450" s="18"/>
      <c r="G450" s="18"/>
      <c r="H450" s="18"/>
      <c r="I450" s="18"/>
      <c r="J450" s="18"/>
      <c r="K450" s="18"/>
      <c r="L450" s="10"/>
      <c r="M450" s="18"/>
      <c r="N450" s="10"/>
      <c r="O450" s="18"/>
      <c r="P450" s="18"/>
      <c r="Q450" s="18"/>
      <c r="R450" s="18">
        <v>20388982.989999998</v>
      </c>
      <c r="S450" s="18"/>
    </row>
    <row r="451" spans="1:19" x14ac:dyDescent="0.25">
      <c r="A451" s="9" t="s">
        <v>886</v>
      </c>
      <c r="B451" s="17" t="s">
        <v>887</v>
      </c>
      <c r="C451" s="18">
        <f>ROUNDUP(SUM(D451+E451+F451+G451+H451+I451+J451+K451+M451+O451+P451+Q451+R451+S451),2)</f>
        <v>174481.33</v>
      </c>
      <c r="D451" s="18"/>
      <c r="E451" s="18">
        <v>174481.33</v>
      </c>
      <c r="F451" s="18"/>
      <c r="G451" s="18"/>
      <c r="H451" s="18"/>
      <c r="I451" s="18"/>
      <c r="J451" s="18"/>
      <c r="K451" s="18"/>
      <c r="L451" s="10"/>
      <c r="M451" s="18"/>
      <c r="N451" s="10"/>
      <c r="O451" s="18"/>
      <c r="P451" s="18"/>
      <c r="Q451" s="18"/>
      <c r="R451" s="18"/>
      <c r="S451" s="18"/>
    </row>
    <row r="452" spans="1:19" x14ac:dyDescent="0.25">
      <c r="A452" s="9" t="s">
        <v>888</v>
      </c>
      <c r="B452" s="17" t="s">
        <v>889</v>
      </c>
      <c r="C452" s="18">
        <f t="shared" ref="C452:C457" si="31">ROUNDUP(SUM(D452+E452+F452+G452+H452+I452+J452+K452+M452+O452+P452+Q452+R452+S452),2)</f>
        <v>463300.64</v>
      </c>
      <c r="D452" s="18"/>
      <c r="E452" s="18">
        <v>463300.64</v>
      </c>
      <c r="F452" s="18"/>
      <c r="G452" s="18"/>
      <c r="H452" s="18"/>
      <c r="I452" s="18"/>
      <c r="J452" s="18"/>
      <c r="K452" s="18"/>
      <c r="L452" s="10"/>
      <c r="M452" s="18"/>
      <c r="N452" s="10"/>
      <c r="O452" s="18"/>
      <c r="P452" s="18"/>
      <c r="Q452" s="18"/>
      <c r="R452" s="18"/>
      <c r="S452" s="18"/>
    </row>
    <row r="453" spans="1:19" x14ac:dyDescent="0.25">
      <c r="A453" s="9" t="s">
        <v>890</v>
      </c>
      <c r="B453" s="17" t="s">
        <v>891</v>
      </c>
      <c r="C453" s="18">
        <f t="shared" si="31"/>
        <v>235020.28</v>
      </c>
      <c r="D453" s="18"/>
      <c r="E453" s="18">
        <v>235020.28</v>
      </c>
      <c r="F453" s="18"/>
      <c r="G453" s="18"/>
      <c r="H453" s="18"/>
      <c r="I453" s="18"/>
      <c r="J453" s="18"/>
      <c r="K453" s="18"/>
      <c r="L453" s="10"/>
      <c r="M453" s="18"/>
      <c r="N453" s="10"/>
      <c r="O453" s="18"/>
      <c r="P453" s="18"/>
      <c r="Q453" s="18"/>
      <c r="R453" s="18"/>
      <c r="S453" s="18"/>
    </row>
    <row r="454" spans="1:19" x14ac:dyDescent="0.25">
      <c r="A454" s="9" t="s">
        <v>892</v>
      </c>
      <c r="B454" s="17" t="s">
        <v>893</v>
      </c>
      <c r="C454" s="18">
        <f>ROUNDUP(SUM(D454+E454+F454+G454+H454+I454+J454+K454+M454+O454+P454+Q454+R454+S454),2)</f>
        <v>449484.19</v>
      </c>
      <c r="D454" s="18"/>
      <c r="E454" s="18">
        <v>449484.19</v>
      </c>
      <c r="F454" s="18"/>
      <c r="G454" s="18"/>
      <c r="H454" s="18"/>
      <c r="I454" s="18"/>
      <c r="J454" s="18"/>
      <c r="K454" s="18"/>
      <c r="L454" s="10"/>
      <c r="M454" s="18"/>
      <c r="N454" s="10"/>
      <c r="O454" s="18"/>
      <c r="P454" s="18"/>
      <c r="Q454" s="18"/>
      <c r="R454" s="18"/>
      <c r="S454" s="18"/>
    </row>
    <row r="455" spans="1:19" x14ac:dyDescent="0.25">
      <c r="A455" s="9" t="s">
        <v>894</v>
      </c>
      <c r="B455" s="17" t="s">
        <v>895</v>
      </c>
      <c r="C455" s="18">
        <f t="shared" si="31"/>
        <v>497711.58</v>
      </c>
      <c r="D455" s="18"/>
      <c r="E455" s="18">
        <v>497711.58</v>
      </c>
      <c r="F455" s="18"/>
      <c r="G455" s="18"/>
      <c r="H455" s="18"/>
      <c r="I455" s="18"/>
      <c r="J455" s="18"/>
      <c r="K455" s="18"/>
      <c r="L455" s="10"/>
      <c r="M455" s="18"/>
      <c r="N455" s="10"/>
      <c r="O455" s="18"/>
      <c r="P455" s="18"/>
      <c r="Q455" s="18"/>
      <c r="R455" s="18"/>
      <c r="S455" s="18"/>
    </row>
    <row r="456" spans="1:19" x14ac:dyDescent="0.25">
      <c r="A456" s="9" t="s">
        <v>896</v>
      </c>
      <c r="B456" s="17" t="s">
        <v>897</v>
      </c>
      <c r="C456" s="18">
        <f>ROUNDUP(SUM(D456+E456+F456+G456+H456+I456+J456+K456+M456+O456+P456+Q456+R456+S456),2)</f>
        <v>529966.57999999996</v>
      </c>
      <c r="D456" s="18"/>
      <c r="E456" s="18">
        <v>529966.57999999996</v>
      </c>
      <c r="F456" s="18"/>
      <c r="G456" s="18"/>
      <c r="H456" s="18"/>
      <c r="I456" s="18"/>
      <c r="J456" s="18"/>
      <c r="K456" s="18"/>
      <c r="L456" s="10"/>
      <c r="M456" s="18"/>
      <c r="N456" s="10"/>
      <c r="O456" s="18"/>
      <c r="P456" s="18"/>
      <c r="Q456" s="18"/>
      <c r="R456" s="18"/>
      <c r="S456" s="18"/>
    </row>
    <row r="457" spans="1:19" x14ac:dyDescent="0.25">
      <c r="A457" s="9" t="s">
        <v>898</v>
      </c>
      <c r="B457" s="17" t="s">
        <v>899</v>
      </c>
      <c r="C457" s="18">
        <f t="shared" si="31"/>
        <v>445898.06</v>
      </c>
      <c r="D457" s="18"/>
      <c r="E457" s="18">
        <v>445898.06</v>
      </c>
      <c r="F457" s="18"/>
      <c r="G457" s="18"/>
      <c r="H457" s="18"/>
      <c r="I457" s="18"/>
      <c r="J457" s="18"/>
      <c r="K457" s="18"/>
      <c r="L457" s="10"/>
      <c r="M457" s="18"/>
      <c r="N457" s="10"/>
      <c r="O457" s="18"/>
      <c r="P457" s="18"/>
      <c r="Q457" s="18"/>
      <c r="R457" s="18"/>
      <c r="S457" s="18"/>
    </row>
    <row r="458" spans="1:19" ht="29.25" customHeight="1" x14ac:dyDescent="0.25">
      <c r="A458" s="33"/>
      <c r="B458" s="33" t="s">
        <v>900</v>
      </c>
      <c r="C458" s="18">
        <f>ROUND(D458+E458+F458+G458+H458+I458+J458+K458+M458+O458+P458+Q458+R458+S458,2)</f>
        <v>41141126.039999999</v>
      </c>
      <c r="D458" s="18">
        <f t="shared" ref="D458:S458" si="32">SUM(D447:D457)</f>
        <v>696036.12</v>
      </c>
      <c r="E458" s="18">
        <f t="shared" si="32"/>
        <v>3342252.35</v>
      </c>
      <c r="F458" s="18">
        <f t="shared" si="32"/>
        <v>3302197.86</v>
      </c>
      <c r="G458" s="18">
        <f t="shared" si="32"/>
        <v>5202708.53</v>
      </c>
      <c r="H458" s="18">
        <f t="shared" si="32"/>
        <v>3437264.11</v>
      </c>
      <c r="I458" s="18">
        <f t="shared" si="32"/>
        <v>1345763.79</v>
      </c>
      <c r="J458" s="18">
        <f t="shared" si="32"/>
        <v>616605.24</v>
      </c>
      <c r="K458" s="18">
        <f t="shared" si="32"/>
        <v>0</v>
      </c>
      <c r="L458" s="10">
        <f t="shared" si="32"/>
        <v>0</v>
      </c>
      <c r="M458" s="18">
        <f t="shared" si="32"/>
        <v>0</v>
      </c>
      <c r="N458" s="18" t="s">
        <v>42</v>
      </c>
      <c r="O458" s="18">
        <f t="shared" si="32"/>
        <v>2809315.05</v>
      </c>
      <c r="P458" s="18">
        <f t="shared" si="32"/>
        <v>0</v>
      </c>
      <c r="Q458" s="18">
        <f t="shared" si="32"/>
        <v>0</v>
      </c>
      <c r="R458" s="18">
        <f t="shared" si="32"/>
        <v>20388982.989999998</v>
      </c>
      <c r="S458" s="18">
        <f t="shared" si="32"/>
        <v>0</v>
      </c>
    </row>
    <row r="459" spans="1:19" ht="15" customHeight="1" x14ac:dyDescent="0.25">
      <c r="A459" s="34"/>
      <c r="B459" s="34" t="s">
        <v>901</v>
      </c>
      <c r="C459" s="19"/>
      <c r="D459" s="13"/>
      <c r="E459" s="13"/>
      <c r="F459" s="13"/>
      <c r="G459" s="13"/>
      <c r="H459" s="13"/>
      <c r="I459" s="13"/>
      <c r="J459" s="13"/>
      <c r="K459" s="13"/>
      <c r="L459" s="14"/>
      <c r="M459" s="13"/>
      <c r="N459" s="14"/>
      <c r="O459" s="13"/>
      <c r="P459" s="13"/>
      <c r="Q459" s="13"/>
      <c r="R459" s="13"/>
      <c r="S459" s="13"/>
    </row>
    <row r="460" spans="1:19" x14ac:dyDescent="0.25">
      <c r="A460" s="9" t="s">
        <v>902</v>
      </c>
      <c r="B460" s="17" t="s">
        <v>903</v>
      </c>
      <c r="C460" s="18">
        <f t="shared" ref="C460:C480" si="33">ROUNDUP(SUM(D460+E460+F460+G460+H460+I460+J460+K460+M460+O460+P460+Q460+R460+S460),2)</f>
        <v>263958.56</v>
      </c>
      <c r="D460" s="18"/>
      <c r="E460" s="18">
        <v>263958.56</v>
      </c>
      <c r="F460" s="18"/>
      <c r="G460" s="18"/>
      <c r="H460" s="18"/>
      <c r="I460" s="18"/>
      <c r="J460" s="18"/>
      <c r="K460" s="18"/>
      <c r="L460" s="10"/>
      <c r="M460" s="18"/>
      <c r="N460" s="10"/>
      <c r="O460" s="18"/>
      <c r="P460" s="18"/>
      <c r="Q460" s="18"/>
      <c r="R460" s="18"/>
      <c r="S460" s="18"/>
    </row>
    <row r="461" spans="1:19" x14ac:dyDescent="0.25">
      <c r="A461" s="9" t="s">
        <v>904</v>
      </c>
      <c r="B461" s="17" t="s">
        <v>905</v>
      </c>
      <c r="C461" s="18">
        <f t="shared" si="33"/>
        <v>379458.77</v>
      </c>
      <c r="D461" s="18"/>
      <c r="E461" s="18">
        <v>379458.77</v>
      </c>
      <c r="F461" s="18"/>
      <c r="G461" s="18"/>
      <c r="H461" s="18"/>
      <c r="I461" s="18"/>
      <c r="J461" s="18"/>
      <c r="K461" s="18"/>
      <c r="L461" s="10"/>
      <c r="M461" s="18"/>
      <c r="N461" s="10"/>
      <c r="O461" s="18"/>
      <c r="P461" s="18"/>
      <c r="Q461" s="18"/>
      <c r="R461" s="18"/>
      <c r="S461" s="18"/>
    </row>
    <row r="462" spans="1:19" x14ac:dyDescent="0.25">
      <c r="A462" s="9" t="s">
        <v>906</v>
      </c>
      <c r="B462" s="17" t="s">
        <v>907</v>
      </c>
      <c r="C462" s="18">
        <f t="shared" si="33"/>
        <v>12146498.630000001</v>
      </c>
      <c r="D462" s="18">
        <v>120610.1</v>
      </c>
      <c r="E462" s="18">
        <v>154816.15</v>
      </c>
      <c r="F462" s="18"/>
      <c r="G462" s="18">
        <v>11871072.380000001</v>
      </c>
      <c r="H462" s="18"/>
      <c r="I462" s="18"/>
      <c r="J462" s="18"/>
      <c r="K462" s="18"/>
      <c r="L462" s="10"/>
      <c r="M462" s="18"/>
      <c r="N462" s="10"/>
      <c r="O462" s="18"/>
      <c r="P462" s="18"/>
      <c r="Q462" s="18"/>
      <c r="R462" s="18"/>
      <c r="S462" s="18"/>
    </row>
    <row r="463" spans="1:19" x14ac:dyDescent="0.25">
      <c r="A463" s="9" t="s">
        <v>908</v>
      </c>
      <c r="B463" s="17" t="s">
        <v>909</v>
      </c>
      <c r="C463" s="18">
        <f t="shared" si="33"/>
        <v>133833.20000000001</v>
      </c>
      <c r="D463" s="18"/>
      <c r="E463" s="18">
        <v>133833.20000000001</v>
      </c>
      <c r="F463" s="18"/>
      <c r="G463" s="18"/>
      <c r="H463" s="18"/>
      <c r="I463" s="18"/>
      <c r="J463" s="18"/>
      <c r="K463" s="18"/>
      <c r="L463" s="10"/>
      <c r="M463" s="18"/>
      <c r="N463" s="10"/>
      <c r="O463" s="18"/>
      <c r="P463" s="18"/>
      <c r="Q463" s="18"/>
      <c r="R463" s="18"/>
      <c r="S463" s="18"/>
    </row>
    <row r="464" spans="1:19" x14ac:dyDescent="0.25">
      <c r="A464" s="9" t="s">
        <v>910</v>
      </c>
      <c r="B464" s="17" t="s">
        <v>911</v>
      </c>
      <c r="C464" s="18">
        <f t="shared" si="33"/>
        <v>156287.69</v>
      </c>
      <c r="D464" s="18"/>
      <c r="E464" s="18">
        <v>156287.69</v>
      </c>
      <c r="F464" s="18"/>
      <c r="G464" s="18"/>
      <c r="H464" s="18"/>
      <c r="I464" s="18"/>
      <c r="J464" s="18"/>
      <c r="K464" s="18"/>
      <c r="L464" s="10"/>
      <c r="M464" s="18"/>
      <c r="N464" s="10"/>
      <c r="O464" s="18"/>
      <c r="P464" s="18"/>
      <c r="Q464" s="18"/>
      <c r="R464" s="18"/>
      <c r="S464" s="18"/>
    </row>
    <row r="465" spans="1:19" x14ac:dyDescent="0.25">
      <c r="A465" s="9" t="s">
        <v>912</v>
      </c>
      <c r="B465" s="17" t="s">
        <v>913</v>
      </c>
      <c r="C465" s="18">
        <f t="shared" si="33"/>
        <v>124280.75</v>
      </c>
      <c r="D465" s="18"/>
      <c r="E465" s="18">
        <v>124280.75</v>
      </c>
      <c r="F465" s="18"/>
      <c r="G465" s="18"/>
      <c r="H465" s="18"/>
      <c r="I465" s="18"/>
      <c r="J465" s="18"/>
      <c r="K465" s="18"/>
      <c r="L465" s="10"/>
      <c r="M465" s="18"/>
      <c r="N465" s="10"/>
      <c r="O465" s="18"/>
      <c r="P465" s="18"/>
      <c r="Q465" s="18"/>
      <c r="R465" s="18"/>
      <c r="S465" s="18"/>
    </row>
    <row r="466" spans="1:19" x14ac:dyDescent="0.25">
      <c r="A466" s="9" t="s">
        <v>914</v>
      </c>
      <c r="B466" s="17" t="s">
        <v>915</v>
      </c>
      <c r="C466" s="18">
        <f t="shared" si="33"/>
        <v>113623.9</v>
      </c>
      <c r="D466" s="18"/>
      <c r="E466" s="18">
        <v>113623.9</v>
      </c>
      <c r="F466" s="18"/>
      <c r="G466" s="18"/>
      <c r="H466" s="18"/>
      <c r="I466" s="18"/>
      <c r="J466" s="18"/>
      <c r="K466" s="18"/>
      <c r="L466" s="10"/>
      <c r="M466" s="18"/>
      <c r="N466" s="10"/>
      <c r="O466" s="18"/>
      <c r="P466" s="18"/>
      <c r="Q466" s="18"/>
      <c r="R466" s="18"/>
      <c r="S466" s="18"/>
    </row>
    <row r="467" spans="1:19" x14ac:dyDescent="0.25">
      <c r="A467" s="9" t="s">
        <v>916</v>
      </c>
      <c r="B467" s="17" t="s">
        <v>917</v>
      </c>
      <c r="C467" s="18">
        <f t="shared" si="33"/>
        <v>262817.68</v>
      </c>
      <c r="D467" s="18"/>
      <c r="E467" s="18">
        <v>262817.68</v>
      </c>
      <c r="F467" s="18"/>
      <c r="G467" s="18"/>
      <c r="H467" s="18"/>
      <c r="I467" s="18"/>
      <c r="J467" s="18"/>
      <c r="K467" s="18"/>
      <c r="L467" s="10"/>
      <c r="M467" s="18"/>
      <c r="N467" s="10"/>
      <c r="O467" s="18"/>
      <c r="P467" s="18"/>
      <c r="Q467" s="18"/>
      <c r="R467" s="18"/>
      <c r="S467" s="18"/>
    </row>
    <row r="468" spans="1:19" x14ac:dyDescent="0.25">
      <c r="A468" s="9" t="s">
        <v>918</v>
      </c>
      <c r="B468" s="17" t="s">
        <v>919</v>
      </c>
      <c r="C468" s="18">
        <f t="shared" si="33"/>
        <v>500599.09</v>
      </c>
      <c r="D468" s="18"/>
      <c r="E468" s="18">
        <v>500599.09</v>
      </c>
      <c r="F468" s="18"/>
      <c r="G468" s="18"/>
      <c r="H468" s="18"/>
      <c r="I468" s="18"/>
      <c r="J468" s="18"/>
      <c r="K468" s="18"/>
      <c r="L468" s="10"/>
      <c r="M468" s="18"/>
      <c r="N468" s="10"/>
      <c r="O468" s="18"/>
      <c r="P468" s="18"/>
      <c r="Q468" s="18"/>
      <c r="R468" s="18"/>
      <c r="S468" s="18"/>
    </row>
    <row r="469" spans="1:19" x14ac:dyDescent="0.25">
      <c r="A469" s="9" t="s">
        <v>920</v>
      </c>
      <c r="B469" s="17" t="s">
        <v>921</v>
      </c>
      <c r="C469" s="18">
        <f t="shared" si="33"/>
        <v>261058.82</v>
      </c>
      <c r="D469" s="18"/>
      <c r="E469" s="18">
        <v>261058.82</v>
      </c>
      <c r="F469" s="18"/>
      <c r="G469" s="18"/>
      <c r="H469" s="18"/>
      <c r="I469" s="18"/>
      <c r="J469" s="18"/>
      <c r="K469" s="18"/>
      <c r="L469" s="10"/>
      <c r="M469" s="18"/>
      <c r="N469" s="10"/>
      <c r="O469" s="18"/>
      <c r="P469" s="18"/>
      <c r="Q469" s="18"/>
      <c r="R469" s="18"/>
      <c r="S469" s="18"/>
    </row>
    <row r="470" spans="1:19" x14ac:dyDescent="0.25">
      <c r="A470" s="9" t="s">
        <v>922</v>
      </c>
      <c r="B470" s="17" t="s">
        <v>923</v>
      </c>
      <c r="C470" s="18">
        <f t="shared" si="33"/>
        <v>316455.58</v>
      </c>
      <c r="D470" s="18"/>
      <c r="E470" s="18">
        <v>316455.58</v>
      </c>
      <c r="F470" s="18"/>
      <c r="G470" s="18"/>
      <c r="H470" s="18"/>
      <c r="I470" s="18"/>
      <c r="J470" s="18"/>
      <c r="K470" s="18"/>
      <c r="L470" s="10"/>
      <c r="M470" s="18"/>
      <c r="N470" s="10"/>
      <c r="O470" s="18"/>
      <c r="P470" s="18"/>
      <c r="Q470" s="18"/>
      <c r="R470" s="18"/>
      <c r="S470" s="18"/>
    </row>
    <row r="471" spans="1:19" x14ac:dyDescent="0.25">
      <c r="A471" s="9" t="s">
        <v>924</v>
      </c>
      <c r="B471" s="17" t="s">
        <v>925</v>
      </c>
      <c r="C471" s="18">
        <f t="shared" si="33"/>
        <v>134560.56</v>
      </c>
      <c r="D471" s="18"/>
      <c r="E471" s="18">
        <v>134560.56</v>
      </c>
      <c r="F471" s="18"/>
      <c r="G471" s="18"/>
      <c r="H471" s="18"/>
      <c r="I471" s="18"/>
      <c r="J471" s="18"/>
      <c r="K471" s="18"/>
      <c r="L471" s="10"/>
      <c r="M471" s="18"/>
      <c r="N471" s="10"/>
      <c r="O471" s="18"/>
      <c r="P471" s="18"/>
      <c r="Q471" s="18"/>
      <c r="R471" s="18"/>
      <c r="S471" s="18"/>
    </row>
    <row r="472" spans="1:19" x14ac:dyDescent="0.25">
      <c r="A472" s="9" t="s">
        <v>926</v>
      </c>
      <c r="B472" s="17" t="s">
        <v>927</v>
      </c>
      <c r="C472" s="18">
        <f t="shared" si="33"/>
        <v>140934.18</v>
      </c>
      <c r="D472" s="18"/>
      <c r="E472" s="18">
        <v>140934.18</v>
      </c>
      <c r="F472" s="18"/>
      <c r="G472" s="18"/>
      <c r="H472" s="18"/>
      <c r="I472" s="18"/>
      <c r="J472" s="18"/>
      <c r="K472" s="18"/>
      <c r="L472" s="10"/>
      <c r="M472" s="18"/>
      <c r="N472" s="10"/>
      <c r="O472" s="18"/>
      <c r="P472" s="18"/>
      <c r="Q472" s="18"/>
      <c r="R472" s="18"/>
      <c r="S472" s="18"/>
    </row>
    <row r="473" spans="1:19" x14ac:dyDescent="0.25">
      <c r="A473" s="9" t="s">
        <v>928</v>
      </c>
      <c r="B473" s="17" t="s">
        <v>929</v>
      </c>
      <c r="C473" s="18">
        <f t="shared" si="33"/>
        <v>377250.94</v>
      </c>
      <c r="D473" s="18"/>
      <c r="E473" s="18">
        <v>377250.94</v>
      </c>
      <c r="F473" s="18"/>
      <c r="G473" s="18"/>
      <c r="H473" s="18"/>
      <c r="I473" s="18"/>
      <c r="J473" s="18"/>
      <c r="K473" s="18"/>
      <c r="L473" s="10"/>
      <c r="M473" s="18"/>
      <c r="N473" s="10"/>
      <c r="O473" s="18"/>
      <c r="P473" s="18"/>
      <c r="Q473" s="18"/>
      <c r="R473" s="18"/>
      <c r="S473" s="18"/>
    </row>
    <row r="474" spans="1:19" x14ac:dyDescent="0.25">
      <c r="A474" s="9" t="s">
        <v>930</v>
      </c>
      <c r="B474" s="17" t="s">
        <v>931</v>
      </c>
      <c r="C474" s="18">
        <f t="shared" si="33"/>
        <v>377695.4</v>
      </c>
      <c r="D474" s="18"/>
      <c r="E474" s="18">
        <v>377695.4</v>
      </c>
      <c r="F474" s="18"/>
      <c r="G474" s="18"/>
      <c r="H474" s="18"/>
      <c r="I474" s="18"/>
      <c r="J474" s="18"/>
      <c r="K474" s="18"/>
      <c r="L474" s="10"/>
      <c r="M474" s="18"/>
      <c r="N474" s="10"/>
      <c r="O474" s="18"/>
      <c r="P474" s="18"/>
      <c r="Q474" s="18"/>
      <c r="R474" s="18"/>
      <c r="S474" s="18"/>
    </row>
    <row r="475" spans="1:19" x14ac:dyDescent="0.25">
      <c r="A475" s="9" t="s">
        <v>932</v>
      </c>
      <c r="B475" s="17" t="s">
        <v>933</v>
      </c>
      <c r="C475" s="18">
        <f t="shared" si="33"/>
        <v>116951.4</v>
      </c>
      <c r="D475" s="18"/>
      <c r="E475" s="18">
        <v>116951.4</v>
      </c>
      <c r="F475" s="18"/>
      <c r="G475" s="18"/>
      <c r="H475" s="18"/>
      <c r="I475" s="18"/>
      <c r="J475" s="18"/>
      <c r="K475" s="18"/>
      <c r="L475" s="10"/>
      <c r="M475" s="18"/>
      <c r="N475" s="10"/>
      <c r="O475" s="18"/>
      <c r="P475" s="18"/>
      <c r="Q475" s="18"/>
      <c r="R475" s="18"/>
      <c r="S475" s="18"/>
    </row>
    <row r="476" spans="1:19" x14ac:dyDescent="0.25">
      <c r="A476" s="9" t="s">
        <v>934</v>
      </c>
      <c r="B476" s="17" t="s">
        <v>935</v>
      </c>
      <c r="C476" s="18">
        <f t="shared" si="33"/>
        <v>116514.26</v>
      </c>
      <c r="D476" s="18"/>
      <c r="E476" s="18">
        <v>116514.26</v>
      </c>
      <c r="F476" s="18"/>
      <c r="G476" s="18"/>
      <c r="H476" s="18"/>
      <c r="I476" s="18"/>
      <c r="J476" s="18"/>
      <c r="K476" s="18"/>
      <c r="L476" s="10"/>
      <c r="M476" s="18"/>
      <c r="N476" s="10"/>
      <c r="O476" s="18"/>
      <c r="P476" s="18"/>
      <c r="Q476" s="18"/>
      <c r="R476" s="18"/>
      <c r="S476" s="18"/>
    </row>
    <row r="477" spans="1:19" x14ac:dyDescent="0.25">
      <c r="A477" s="9" t="s">
        <v>936</v>
      </c>
      <c r="B477" s="17" t="s">
        <v>937</v>
      </c>
      <c r="C477" s="18">
        <f t="shared" si="33"/>
        <v>387678.83</v>
      </c>
      <c r="D477" s="18"/>
      <c r="E477" s="18">
        <v>387678.83</v>
      </c>
      <c r="F477" s="18"/>
      <c r="G477" s="18"/>
      <c r="H477" s="18"/>
      <c r="I477" s="18"/>
      <c r="J477" s="18"/>
      <c r="K477" s="18"/>
      <c r="L477" s="10"/>
      <c r="M477" s="18"/>
      <c r="N477" s="10"/>
      <c r="O477" s="18"/>
      <c r="P477" s="18"/>
      <c r="Q477" s="18"/>
      <c r="R477" s="18"/>
      <c r="S477" s="18"/>
    </row>
    <row r="478" spans="1:19" x14ac:dyDescent="0.25">
      <c r="A478" s="9" t="s">
        <v>938</v>
      </c>
      <c r="B478" s="17" t="s">
        <v>939</v>
      </c>
      <c r="C478" s="18">
        <f t="shared" si="33"/>
        <v>131264.4</v>
      </c>
      <c r="D478" s="18"/>
      <c r="E478" s="18">
        <v>131264.4</v>
      </c>
      <c r="F478" s="18"/>
      <c r="G478" s="18"/>
      <c r="H478" s="18"/>
      <c r="I478" s="18"/>
      <c r="J478" s="18"/>
      <c r="K478" s="18"/>
      <c r="L478" s="10"/>
      <c r="M478" s="18"/>
      <c r="N478" s="10"/>
      <c r="O478" s="18"/>
      <c r="P478" s="18"/>
      <c r="Q478" s="18"/>
      <c r="R478" s="18"/>
      <c r="S478" s="18"/>
    </row>
    <row r="479" spans="1:19" x14ac:dyDescent="0.25">
      <c r="A479" s="9" t="s">
        <v>940</v>
      </c>
      <c r="B479" s="17" t="s">
        <v>941</v>
      </c>
      <c r="C479" s="18">
        <f t="shared" si="33"/>
        <v>364010.22</v>
      </c>
      <c r="D479" s="18"/>
      <c r="E479" s="18">
        <v>364010.22</v>
      </c>
      <c r="F479" s="18"/>
      <c r="G479" s="18"/>
      <c r="H479" s="18"/>
      <c r="I479" s="18"/>
      <c r="J479" s="18"/>
      <c r="K479" s="18"/>
      <c r="L479" s="10"/>
      <c r="M479" s="18"/>
      <c r="N479" s="10"/>
      <c r="O479" s="18"/>
      <c r="P479" s="18"/>
      <c r="Q479" s="18"/>
      <c r="R479" s="18"/>
      <c r="S479" s="18"/>
    </row>
    <row r="480" spans="1:19" x14ac:dyDescent="0.25">
      <c r="A480" s="9" t="s">
        <v>942</v>
      </c>
      <c r="B480" s="17" t="s">
        <v>943</v>
      </c>
      <c r="C480" s="18">
        <f t="shared" si="33"/>
        <v>139757.4</v>
      </c>
      <c r="D480" s="18"/>
      <c r="E480" s="18">
        <v>139757.4</v>
      </c>
      <c r="F480" s="18"/>
      <c r="G480" s="18"/>
      <c r="H480" s="18"/>
      <c r="I480" s="18"/>
      <c r="J480" s="18"/>
      <c r="K480" s="18"/>
      <c r="L480" s="10"/>
      <c r="M480" s="18"/>
      <c r="N480" s="10"/>
      <c r="O480" s="18"/>
      <c r="P480" s="18"/>
      <c r="Q480" s="18"/>
      <c r="R480" s="18"/>
      <c r="S480" s="18"/>
    </row>
    <row r="481" spans="1:19" ht="15" customHeight="1" x14ac:dyDescent="0.25">
      <c r="A481" s="33"/>
      <c r="B481" s="33" t="s">
        <v>944</v>
      </c>
      <c r="C481" s="18">
        <f>ROUND(D481+E481+F481+G481+H481+I481+J481+K481+M481+O481+P481+Q481+R481+S481,2)</f>
        <v>16945490.260000002</v>
      </c>
      <c r="D481" s="18">
        <f t="shared" ref="D481:S481" si="34">SUM(D460:D480)</f>
        <v>120610.1</v>
      </c>
      <c r="E481" s="18">
        <f t="shared" si="34"/>
        <v>4953807.78</v>
      </c>
      <c r="F481" s="18">
        <f t="shared" si="34"/>
        <v>0</v>
      </c>
      <c r="G481" s="18">
        <f t="shared" si="34"/>
        <v>11871072.380000001</v>
      </c>
      <c r="H481" s="18">
        <f t="shared" si="34"/>
        <v>0</v>
      </c>
      <c r="I481" s="18">
        <f t="shared" si="34"/>
        <v>0</v>
      </c>
      <c r="J481" s="18">
        <f t="shared" si="34"/>
        <v>0</v>
      </c>
      <c r="K481" s="18">
        <f t="shared" si="34"/>
        <v>0</v>
      </c>
      <c r="L481" s="10">
        <f t="shared" si="34"/>
        <v>0</v>
      </c>
      <c r="M481" s="18">
        <f t="shared" si="34"/>
        <v>0</v>
      </c>
      <c r="N481" s="18" t="s">
        <v>42</v>
      </c>
      <c r="O481" s="18">
        <f t="shared" si="34"/>
        <v>0</v>
      </c>
      <c r="P481" s="18">
        <f t="shared" si="34"/>
        <v>0</v>
      </c>
      <c r="Q481" s="18">
        <f t="shared" si="34"/>
        <v>0</v>
      </c>
      <c r="R481" s="18">
        <f t="shared" si="34"/>
        <v>0</v>
      </c>
      <c r="S481" s="18">
        <f t="shared" si="34"/>
        <v>0</v>
      </c>
    </row>
    <row r="482" spans="1:19" ht="15" customHeight="1" x14ac:dyDescent="0.25">
      <c r="A482" s="34"/>
      <c r="B482" s="34" t="s">
        <v>945</v>
      </c>
      <c r="C482" s="19"/>
      <c r="D482" s="13"/>
      <c r="E482" s="13"/>
      <c r="F482" s="13"/>
      <c r="G482" s="13"/>
      <c r="H482" s="13"/>
      <c r="I482" s="13"/>
      <c r="J482" s="13"/>
      <c r="K482" s="13"/>
      <c r="L482" s="14"/>
      <c r="M482" s="13"/>
      <c r="N482" s="14"/>
      <c r="O482" s="13"/>
      <c r="P482" s="13"/>
      <c r="Q482" s="13"/>
      <c r="R482" s="13"/>
      <c r="S482" s="13"/>
    </row>
    <row r="483" spans="1:19" x14ac:dyDescent="0.25">
      <c r="A483" s="9" t="s">
        <v>946</v>
      </c>
      <c r="B483" s="21" t="s">
        <v>947</v>
      </c>
      <c r="C483" s="18">
        <f t="shared" ref="C483:C506" si="35">ROUNDUP(SUM(D483+E483+F483+G483+H483+I483+J483+K483+M483+O483+P483+Q483+R483+S483),2)</f>
        <v>240332.9</v>
      </c>
      <c r="D483" s="18"/>
      <c r="E483" s="18">
        <v>240332.9</v>
      </c>
      <c r="F483" s="18"/>
      <c r="G483" s="18"/>
      <c r="H483" s="18"/>
      <c r="I483" s="18"/>
      <c r="J483" s="18"/>
      <c r="K483" s="18"/>
      <c r="L483" s="10"/>
      <c r="M483" s="18"/>
      <c r="N483" s="10"/>
      <c r="O483" s="18"/>
      <c r="P483" s="18"/>
      <c r="Q483" s="18"/>
      <c r="R483" s="18"/>
      <c r="S483" s="18"/>
    </row>
    <row r="484" spans="1:19" x14ac:dyDescent="0.25">
      <c r="A484" s="9" t="s">
        <v>948</v>
      </c>
      <c r="B484" s="21" t="s">
        <v>949</v>
      </c>
      <c r="C484" s="18">
        <f t="shared" si="35"/>
        <v>241833.73</v>
      </c>
      <c r="D484" s="18"/>
      <c r="E484" s="18">
        <v>241833.73</v>
      </c>
      <c r="F484" s="18"/>
      <c r="G484" s="18"/>
      <c r="H484" s="18"/>
      <c r="I484" s="18"/>
      <c r="J484" s="18"/>
      <c r="K484" s="18"/>
      <c r="L484" s="10"/>
      <c r="M484" s="18"/>
      <c r="N484" s="10"/>
      <c r="O484" s="18"/>
      <c r="P484" s="18"/>
      <c r="Q484" s="18"/>
      <c r="R484" s="18"/>
      <c r="S484" s="18"/>
    </row>
    <row r="485" spans="1:19" x14ac:dyDescent="0.25">
      <c r="A485" s="9" t="s">
        <v>950</v>
      </c>
      <c r="B485" s="17" t="s">
        <v>951</v>
      </c>
      <c r="C485" s="18">
        <f t="shared" si="35"/>
        <v>165384.68</v>
      </c>
      <c r="D485" s="18"/>
      <c r="E485" s="18">
        <v>165384.68</v>
      </c>
      <c r="F485" s="18"/>
      <c r="G485" s="18"/>
      <c r="H485" s="18"/>
      <c r="I485" s="18"/>
      <c r="J485" s="18"/>
      <c r="K485" s="18"/>
      <c r="L485" s="10"/>
      <c r="M485" s="18"/>
      <c r="N485" s="10"/>
      <c r="O485" s="18"/>
      <c r="P485" s="18"/>
      <c r="Q485" s="18"/>
      <c r="R485" s="18"/>
      <c r="S485" s="18"/>
    </row>
    <row r="486" spans="1:19" x14ac:dyDescent="0.25">
      <c r="A486" s="9" t="s">
        <v>952</v>
      </c>
      <c r="B486" s="17" t="s">
        <v>953</v>
      </c>
      <c r="C486" s="18">
        <f t="shared" si="35"/>
        <v>165660.94</v>
      </c>
      <c r="D486" s="18"/>
      <c r="E486" s="18">
        <v>165660.94</v>
      </c>
      <c r="F486" s="18"/>
      <c r="G486" s="18"/>
      <c r="H486" s="18"/>
      <c r="I486" s="18"/>
      <c r="J486" s="18"/>
      <c r="K486" s="18"/>
      <c r="L486" s="10"/>
      <c r="M486" s="18"/>
      <c r="N486" s="10"/>
      <c r="O486" s="18"/>
      <c r="P486" s="18"/>
      <c r="Q486" s="18"/>
      <c r="R486" s="18"/>
      <c r="S486" s="18"/>
    </row>
    <row r="487" spans="1:19" x14ac:dyDescent="0.25">
      <c r="A487" s="9" t="s">
        <v>954</v>
      </c>
      <c r="B487" s="17" t="s">
        <v>955</v>
      </c>
      <c r="C487" s="18">
        <f t="shared" si="35"/>
        <v>102703.69</v>
      </c>
      <c r="D487" s="18"/>
      <c r="E487" s="18">
        <v>102703.69</v>
      </c>
      <c r="F487" s="18"/>
      <c r="G487" s="18"/>
      <c r="H487" s="18"/>
      <c r="I487" s="18"/>
      <c r="J487" s="18"/>
      <c r="K487" s="18"/>
      <c r="L487" s="10"/>
      <c r="M487" s="18"/>
      <c r="N487" s="10"/>
      <c r="O487" s="18"/>
      <c r="P487" s="18"/>
      <c r="Q487" s="18"/>
      <c r="R487" s="18"/>
      <c r="S487" s="18"/>
    </row>
    <row r="488" spans="1:19" x14ac:dyDescent="0.25">
      <c r="A488" s="9" t="s">
        <v>956</v>
      </c>
      <c r="B488" s="17" t="s">
        <v>957</v>
      </c>
      <c r="C488" s="18">
        <f t="shared" si="35"/>
        <v>166154.23999999999</v>
      </c>
      <c r="D488" s="18"/>
      <c r="E488" s="18">
        <v>166154.23999999999</v>
      </c>
      <c r="F488" s="18"/>
      <c r="G488" s="18"/>
      <c r="H488" s="18"/>
      <c r="I488" s="18"/>
      <c r="J488" s="18"/>
      <c r="K488" s="18"/>
      <c r="L488" s="10"/>
      <c r="M488" s="18"/>
      <c r="N488" s="10"/>
      <c r="O488" s="18"/>
      <c r="P488" s="18"/>
      <c r="Q488" s="18"/>
      <c r="R488" s="18"/>
      <c r="S488" s="18"/>
    </row>
    <row r="489" spans="1:19" x14ac:dyDescent="0.25">
      <c r="A489" s="9" t="s">
        <v>958</v>
      </c>
      <c r="B489" s="38" t="s">
        <v>959</v>
      </c>
      <c r="C489" s="18">
        <f t="shared" si="35"/>
        <v>130938.38</v>
      </c>
      <c r="D489" s="18"/>
      <c r="E489" s="18">
        <v>130938.38</v>
      </c>
      <c r="F489" s="18"/>
      <c r="G489" s="18"/>
      <c r="H489" s="18"/>
      <c r="I489" s="18"/>
      <c r="J489" s="18"/>
      <c r="K489" s="18"/>
      <c r="L489" s="10"/>
      <c r="M489" s="18"/>
      <c r="N489" s="10"/>
      <c r="O489" s="18"/>
      <c r="P489" s="18"/>
      <c r="Q489" s="18"/>
      <c r="R489" s="18"/>
      <c r="S489" s="18"/>
    </row>
    <row r="490" spans="1:19" x14ac:dyDescent="0.25">
      <c r="A490" s="9" t="s">
        <v>960</v>
      </c>
      <c r="B490" s="17" t="s">
        <v>961</v>
      </c>
      <c r="C490" s="18">
        <f t="shared" si="35"/>
        <v>62282.44</v>
      </c>
      <c r="D490" s="18"/>
      <c r="E490" s="18">
        <v>62282.44</v>
      </c>
      <c r="F490" s="18"/>
      <c r="G490" s="18"/>
      <c r="H490" s="18"/>
      <c r="I490" s="18"/>
      <c r="J490" s="18"/>
      <c r="K490" s="18"/>
      <c r="L490" s="10"/>
      <c r="M490" s="18"/>
      <c r="N490" s="10"/>
      <c r="O490" s="18"/>
      <c r="P490" s="18"/>
      <c r="Q490" s="18"/>
      <c r="R490" s="18"/>
      <c r="S490" s="18"/>
    </row>
    <row r="491" spans="1:19" x14ac:dyDescent="0.25">
      <c r="A491" s="9" t="s">
        <v>962</v>
      </c>
      <c r="B491" s="17" t="s">
        <v>963</v>
      </c>
      <c r="C491" s="18">
        <f t="shared" si="35"/>
        <v>327157.42</v>
      </c>
      <c r="D491" s="18"/>
      <c r="E491" s="18">
        <v>327157.42</v>
      </c>
      <c r="F491" s="18"/>
      <c r="G491" s="18"/>
      <c r="H491" s="18"/>
      <c r="I491" s="18"/>
      <c r="J491" s="18"/>
      <c r="K491" s="18"/>
      <c r="L491" s="10"/>
      <c r="M491" s="18"/>
      <c r="N491" s="10"/>
      <c r="O491" s="18"/>
      <c r="P491" s="18"/>
      <c r="Q491" s="18"/>
      <c r="R491" s="18"/>
      <c r="S491" s="18"/>
    </row>
    <row r="492" spans="1:19" x14ac:dyDescent="0.25">
      <c r="A492" s="9" t="s">
        <v>964</v>
      </c>
      <c r="B492" s="17" t="s">
        <v>965</v>
      </c>
      <c r="C492" s="18">
        <f t="shared" si="35"/>
        <v>760200.98</v>
      </c>
      <c r="D492" s="18"/>
      <c r="E492" s="18">
        <v>760200.98</v>
      </c>
      <c r="F492" s="18"/>
      <c r="G492" s="18"/>
      <c r="H492" s="18"/>
      <c r="I492" s="18"/>
      <c r="J492" s="18"/>
      <c r="K492" s="18"/>
      <c r="L492" s="10"/>
      <c r="M492" s="18"/>
      <c r="N492" s="10"/>
      <c r="O492" s="18"/>
      <c r="P492" s="18"/>
      <c r="Q492" s="18"/>
      <c r="R492" s="18"/>
      <c r="S492" s="18"/>
    </row>
    <row r="493" spans="1:19" x14ac:dyDescent="0.25">
      <c r="A493" s="9" t="s">
        <v>966</v>
      </c>
      <c r="B493" s="17" t="s">
        <v>967</v>
      </c>
      <c r="C493" s="18">
        <f t="shared" si="35"/>
        <v>13224829.140000001</v>
      </c>
      <c r="D493" s="18">
        <v>134245.41</v>
      </c>
      <c r="E493" s="18">
        <v>367711.21</v>
      </c>
      <c r="F493" s="18"/>
      <c r="G493" s="18"/>
      <c r="H493" s="18"/>
      <c r="I493" s="18"/>
      <c r="J493" s="18"/>
      <c r="K493" s="18"/>
      <c r="L493" s="10">
        <v>3</v>
      </c>
      <c r="M493" s="18">
        <v>6307743.3200000003</v>
      </c>
      <c r="N493" s="10"/>
      <c r="O493" s="18"/>
      <c r="P493" s="18"/>
      <c r="Q493" s="18">
        <v>6415129.2000000002</v>
      </c>
      <c r="R493" s="18"/>
      <c r="S493" s="18"/>
    </row>
    <row r="494" spans="1:19" x14ac:dyDescent="0.25">
      <c r="A494" s="9" t="s">
        <v>968</v>
      </c>
      <c r="B494" s="17" t="s">
        <v>969</v>
      </c>
      <c r="C494" s="18">
        <f t="shared" si="35"/>
        <v>143868.32999999999</v>
      </c>
      <c r="D494" s="18"/>
      <c r="E494" s="18">
        <v>143868.32999999999</v>
      </c>
      <c r="F494" s="18"/>
      <c r="G494" s="18"/>
      <c r="H494" s="18"/>
      <c r="I494" s="18"/>
      <c r="J494" s="18"/>
      <c r="K494" s="18"/>
      <c r="L494" s="10"/>
      <c r="M494" s="18"/>
      <c r="N494" s="10"/>
      <c r="O494" s="18"/>
      <c r="P494" s="18"/>
      <c r="Q494" s="18"/>
      <c r="R494" s="18"/>
      <c r="S494" s="18"/>
    </row>
    <row r="495" spans="1:19" x14ac:dyDescent="0.25">
      <c r="A495" s="9" t="s">
        <v>970</v>
      </c>
      <c r="B495" s="17" t="s">
        <v>971</v>
      </c>
      <c r="C495" s="18">
        <f t="shared" si="35"/>
        <v>5240528.0999999996</v>
      </c>
      <c r="D495" s="18">
        <v>21094.12</v>
      </c>
      <c r="E495" s="18">
        <v>392404.05</v>
      </c>
      <c r="F495" s="18"/>
      <c r="G495" s="18"/>
      <c r="H495" s="18"/>
      <c r="I495" s="18"/>
      <c r="J495" s="18"/>
      <c r="K495" s="18"/>
      <c r="L495" s="10"/>
      <c r="M495" s="18"/>
      <c r="N495" s="10"/>
      <c r="O495" s="18"/>
      <c r="P495" s="18">
        <v>4827029.93</v>
      </c>
      <c r="Q495" s="18"/>
      <c r="R495" s="18"/>
      <c r="S495" s="18"/>
    </row>
    <row r="496" spans="1:19" x14ac:dyDescent="0.25">
      <c r="A496" s="9" t="s">
        <v>972</v>
      </c>
      <c r="B496" s="17" t="s">
        <v>973</v>
      </c>
      <c r="C496" s="18">
        <f t="shared" si="35"/>
        <v>231281.73</v>
      </c>
      <c r="D496" s="18"/>
      <c r="E496" s="18">
        <v>231281.73</v>
      </c>
      <c r="F496" s="18"/>
      <c r="G496" s="18"/>
      <c r="H496" s="18"/>
      <c r="I496" s="18"/>
      <c r="J496" s="18"/>
      <c r="K496" s="18"/>
      <c r="L496" s="10"/>
      <c r="M496" s="18"/>
      <c r="N496" s="10"/>
      <c r="O496" s="18"/>
      <c r="P496" s="18"/>
      <c r="Q496" s="18"/>
      <c r="R496" s="18"/>
      <c r="S496" s="18"/>
    </row>
    <row r="497" spans="1:19" x14ac:dyDescent="0.25">
      <c r="A497" s="9" t="s">
        <v>974</v>
      </c>
      <c r="B497" s="17" t="s">
        <v>975</v>
      </c>
      <c r="C497" s="18">
        <f t="shared" si="35"/>
        <v>5236116.72</v>
      </c>
      <c r="D497" s="18">
        <v>21084.91</v>
      </c>
      <c r="E497" s="18">
        <v>390109.5</v>
      </c>
      <c r="F497" s="18"/>
      <c r="G497" s="18"/>
      <c r="H497" s="18"/>
      <c r="I497" s="18"/>
      <c r="J497" s="18"/>
      <c r="K497" s="18"/>
      <c r="L497" s="10"/>
      <c r="M497" s="18"/>
      <c r="N497" s="10"/>
      <c r="O497" s="18"/>
      <c r="P497" s="18">
        <v>4824922.3099999996</v>
      </c>
      <c r="Q497" s="18"/>
      <c r="R497" s="18"/>
      <c r="S497" s="18"/>
    </row>
    <row r="498" spans="1:19" x14ac:dyDescent="0.25">
      <c r="A498" s="9" t="s">
        <v>976</v>
      </c>
      <c r="B498" s="17" t="s">
        <v>977</v>
      </c>
      <c r="C498" s="18">
        <f t="shared" si="35"/>
        <v>377588.7</v>
      </c>
      <c r="D498" s="18"/>
      <c r="E498" s="18">
        <v>377588.7</v>
      </c>
      <c r="F498" s="18"/>
      <c r="G498" s="18"/>
      <c r="H498" s="18"/>
      <c r="I498" s="18"/>
      <c r="J498" s="18"/>
      <c r="K498" s="18"/>
      <c r="L498" s="10"/>
      <c r="M498" s="18"/>
      <c r="N498" s="10"/>
      <c r="O498" s="18"/>
      <c r="P498" s="18"/>
      <c r="Q498" s="18"/>
      <c r="R498" s="18"/>
      <c r="S498" s="18"/>
    </row>
    <row r="499" spans="1:19" x14ac:dyDescent="0.25">
      <c r="A499" s="9" t="s">
        <v>978</v>
      </c>
      <c r="B499" s="17" t="s">
        <v>979</v>
      </c>
      <c r="C499" s="18">
        <f t="shared" si="35"/>
        <v>5369280.1299999999</v>
      </c>
      <c r="D499" s="18">
        <v>21479.82</v>
      </c>
      <c r="E499" s="18">
        <v>432508.63</v>
      </c>
      <c r="F499" s="18"/>
      <c r="G499" s="18"/>
      <c r="H499" s="18"/>
      <c r="I499" s="18"/>
      <c r="J499" s="18"/>
      <c r="K499" s="18"/>
      <c r="L499" s="10"/>
      <c r="M499" s="18"/>
      <c r="N499" s="10"/>
      <c r="O499" s="18"/>
      <c r="P499" s="18">
        <v>4915291.68</v>
      </c>
      <c r="Q499" s="18"/>
      <c r="R499" s="18"/>
      <c r="S499" s="18"/>
    </row>
    <row r="500" spans="1:19" x14ac:dyDescent="0.25">
      <c r="A500" s="9" t="s">
        <v>980</v>
      </c>
      <c r="B500" s="21" t="s">
        <v>981</v>
      </c>
      <c r="C500" s="18">
        <f t="shared" si="35"/>
        <v>149889.85999999999</v>
      </c>
      <c r="D500" s="18"/>
      <c r="E500" s="18">
        <v>149889.85999999999</v>
      </c>
      <c r="F500" s="18"/>
      <c r="G500" s="18"/>
      <c r="H500" s="18"/>
      <c r="I500" s="18"/>
      <c r="J500" s="18"/>
      <c r="K500" s="18"/>
      <c r="L500" s="10"/>
      <c r="M500" s="18"/>
      <c r="N500" s="10"/>
      <c r="O500" s="18"/>
      <c r="P500" s="18"/>
      <c r="Q500" s="18"/>
      <c r="R500" s="18"/>
      <c r="S500" s="18"/>
    </row>
    <row r="501" spans="1:19" x14ac:dyDescent="0.25">
      <c r="A501" s="9" t="s">
        <v>982</v>
      </c>
      <c r="B501" s="21" t="s">
        <v>983</v>
      </c>
      <c r="C501" s="18">
        <f t="shared" si="35"/>
        <v>193444.65</v>
      </c>
      <c r="D501" s="18"/>
      <c r="E501" s="18">
        <v>193444.65</v>
      </c>
      <c r="F501" s="18"/>
      <c r="G501" s="18"/>
      <c r="H501" s="18"/>
      <c r="I501" s="18"/>
      <c r="J501" s="18"/>
      <c r="K501" s="18"/>
      <c r="L501" s="10"/>
      <c r="M501" s="18"/>
      <c r="N501" s="10"/>
      <c r="O501" s="18"/>
      <c r="P501" s="18"/>
      <c r="Q501" s="18"/>
      <c r="R501" s="18"/>
      <c r="S501" s="18"/>
    </row>
    <row r="502" spans="1:19" x14ac:dyDescent="0.25">
      <c r="A502" s="9" t="s">
        <v>984</v>
      </c>
      <c r="B502" s="21" t="s">
        <v>985</v>
      </c>
      <c r="C502" s="18">
        <f t="shared" si="35"/>
        <v>149143.15</v>
      </c>
      <c r="D502" s="18"/>
      <c r="E502" s="18">
        <v>149143.15</v>
      </c>
      <c r="F502" s="18"/>
      <c r="G502" s="18"/>
      <c r="H502" s="18"/>
      <c r="I502" s="18"/>
      <c r="J502" s="18"/>
      <c r="K502" s="18"/>
      <c r="L502" s="10"/>
      <c r="M502" s="18"/>
      <c r="N502" s="10"/>
      <c r="O502" s="18"/>
      <c r="P502" s="18"/>
      <c r="Q502" s="18"/>
      <c r="R502" s="18"/>
      <c r="S502" s="18"/>
    </row>
    <row r="503" spans="1:19" x14ac:dyDescent="0.25">
      <c r="A503" s="9" t="s">
        <v>986</v>
      </c>
      <c r="B503" s="21" t="s">
        <v>987</v>
      </c>
      <c r="C503" s="18">
        <f t="shared" si="35"/>
        <v>149360.71</v>
      </c>
      <c r="D503" s="18"/>
      <c r="E503" s="18">
        <v>149360.71</v>
      </c>
      <c r="F503" s="18"/>
      <c r="G503" s="18"/>
      <c r="H503" s="18"/>
      <c r="I503" s="18"/>
      <c r="J503" s="18"/>
      <c r="K503" s="18"/>
      <c r="L503" s="10"/>
      <c r="M503" s="18"/>
      <c r="N503" s="10"/>
      <c r="O503" s="18"/>
      <c r="P503" s="18"/>
      <c r="Q503" s="18"/>
      <c r="R503" s="18"/>
      <c r="S503" s="18"/>
    </row>
    <row r="504" spans="1:19" x14ac:dyDescent="0.25">
      <c r="A504" s="9" t="s">
        <v>988</v>
      </c>
      <c r="B504" s="17" t="s">
        <v>989</v>
      </c>
      <c r="C504" s="18">
        <f t="shared" si="35"/>
        <v>28769882.530000001</v>
      </c>
      <c r="D504" s="18">
        <v>176464.27</v>
      </c>
      <c r="E504" s="18">
        <v>211772.33</v>
      </c>
      <c r="F504" s="18"/>
      <c r="G504" s="18"/>
      <c r="H504" s="18"/>
      <c r="I504" s="18"/>
      <c r="J504" s="18"/>
      <c r="K504" s="18"/>
      <c r="L504" s="10">
        <v>2</v>
      </c>
      <c r="M504" s="18">
        <v>4205261.53</v>
      </c>
      <c r="N504" s="10" t="s">
        <v>552</v>
      </c>
      <c r="O504" s="18">
        <v>24176384.399999999</v>
      </c>
      <c r="P504" s="18"/>
      <c r="Q504" s="18"/>
      <c r="R504" s="18"/>
      <c r="S504" s="18"/>
    </row>
    <row r="505" spans="1:19" x14ac:dyDescent="0.25">
      <c r="A505" s="9" t="s">
        <v>990</v>
      </c>
      <c r="B505" s="17" t="s">
        <v>991</v>
      </c>
      <c r="C505" s="18">
        <f t="shared" si="35"/>
        <v>421587.78</v>
      </c>
      <c r="D505" s="18"/>
      <c r="E505" s="18">
        <v>421587.78</v>
      </c>
      <c r="F505" s="18"/>
      <c r="G505" s="18"/>
      <c r="H505" s="18"/>
      <c r="I505" s="18"/>
      <c r="J505" s="18"/>
      <c r="K505" s="18"/>
      <c r="L505" s="10"/>
      <c r="M505" s="18"/>
      <c r="N505" s="10"/>
      <c r="O505" s="18"/>
      <c r="P505" s="18"/>
      <c r="Q505" s="18"/>
      <c r="R505" s="18"/>
      <c r="S505" s="18"/>
    </row>
    <row r="506" spans="1:19" x14ac:dyDescent="0.25">
      <c r="A506" s="9" t="s">
        <v>992</v>
      </c>
      <c r="B506" s="17" t="s">
        <v>993</v>
      </c>
      <c r="C506" s="18">
        <f t="shared" si="35"/>
        <v>125745.76</v>
      </c>
      <c r="D506" s="18"/>
      <c r="E506" s="18">
        <v>125745.76</v>
      </c>
      <c r="F506" s="18"/>
      <c r="G506" s="18"/>
      <c r="H506" s="18"/>
      <c r="I506" s="18"/>
      <c r="J506" s="18"/>
      <c r="K506" s="18"/>
      <c r="L506" s="10"/>
      <c r="M506" s="18"/>
      <c r="N506" s="10"/>
      <c r="O506" s="18"/>
      <c r="P506" s="18"/>
      <c r="Q506" s="18"/>
      <c r="R506" s="18"/>
      <c r="S506" s="18"/>
    </row>
    <row r="507" spans="1:19" ht="15" customHeight="1" x14ac:dyDescent="0.25">
      <c r="A507" s="33"/>
      <c r="B507" s="33" t="s">
        <v>994</v>
      </c>
      <c r="C507" s="18">
        <f>ROUND(D507+E507+F507+G507+H507+I507+J507+K507+M507+O507+P507+Q507+R507+S507,2)</f>
        <v>62145196.689999998</v>
      </c>
      <c r="D507" s="18">
        <f t="shared" ref="D507:S507" si="36">SUM(D483:D506)</f>
        <v>374368.53</v>
      </c>
      <c r="E507" s="18">
        <f t="shared" si="36"/>
        <v>6099065.790000001</v>
      </c>
      <c r="F507" s="18">
        <f t="shared" si="36"/>
        <v>0</v>
      </c>
      <c r="G507" s="18">
        <f t="shared" si="36"/>
        <v>0</v>
      </c>
      <c r="H507" s="18">
        <f t="shared" si="36"/>
        <v>0</v>
      </c>
      <c r="I507" s="18">
        <f t="shared" si="36"/>
        <v>0</v>
      </c>
      <c r="J507" s="18">
        <f t="shared" si="36"/>
        <v>0</v>
      </c>
      <c r="K507" s="18">
        <f t="shared" si="36"/>
        <v>0</v>
      </c>
      <c r="L507" s="10">
        <f t="shared" si="36"/>
        <v>5</v>
      </c>
      <c r="M507" s="18">
        <f t="shared" si="36"/>
        <v>10513004.850000001</v>
      </c>
      <c r="N507" s="18" t="s">
        <v>42</v>
      </c>
      <c r="O507" s="18">
        <f t="shared" si="36"/>
        <v>24176384.399999999</v>
      </c>
      <c r="P507" s="18">
        <f t="shared" si="36"/>
        <v>14567243.919999998</v>
      </c>
      <c r="Q507" s="18">
        <f t="shared" si="36"/>
        <v>6415129.2000000002</v>
      </c>
      <c r="R507" s="18">
        <f t="shared" si="36"/>
        <v>0</v>
      </c>
      <c r="S507" s="18">
        <f t="shared" si="36"/>
        <v>0</v>
      </c>
    </row>
    <row r="508" spans="1:19" ht="15" customHeight="1" x14ac:dyDescent="0.25">
      <c r="A508" s="34"/>
      <c r="B508" s="34" t="s">
        <v>995</v>
      </c>
      <c r="C508" s="19"/>
      <c r="D508" s="13"/>
      <c r="E508" s="13"/>
      <c r="F508" s="13"/>
      <c r="G508" s="13"/>
      <c r="H508" s="13"/>
      <c r="I508" s="13"/>
      <c r="J508" s="13"/>
      <c r="K508" s="13"/>
      <c r="L508" s="14"/>
      <c r="M508" s="13"/>
      <c r="N508" s="14"/>
      <c r="O508" s="13"/>
      <c r="P508" s="13"/>
      <c r="Q508" s="13"/>
      <c r="R508" s="13"/>
      <c r="S508" s="13"/>
    </row>
    <row r="509" spans="1:19" x14ac:dyDescent="0.25">
      <c r="A509" s="9" t="s">
        <v>996</v>
      </c>
      <c r="B509" s="17" t="s">
        <v>997</v>
      </c>
      <c r="C509" s="18">
        <f t="shared" ref="C509:C529" si="37">ROUNDUP(SUM(D509+E509+F509+G509+H509+I509+J509+K509+M509+O509+P509+Q509+R509+S509),2)</f>
        <v>300612.08</v>
      </c>
      <c r="D509" s="18"/>
      <c r="E509" s="18">
        <v>300612.08</v>
      </c>
      <c r="F509" s="18"/>
      <c r="G509" s="18"/>
      <c r="H509" s="18"/>
      <c r="I509" s="18"/>
      <c r="J509" s="18"/>
      <c r="K509" s="18"/>
      <c r="L509" s="10"/>
      <c r="M509" s="18"/>
      <c r="N509" s="10"/>
      <c r="O509" s="18"/>
      <c r="P509" s="18"/>
      <c r="Q509" s="18"/>
      <c r="R509" s="18"/>
      <c r="S509" s="18"/>
    </row>
    <row r="510" spans="1:19" x14ac:dyDescent="0.25">
      <c r="A510" s="9" t="s">
        <v>998</v>
      </c>
      <c r="B510" s="17" t="s">
        <v>999</v>
      </c>
      <c r="C510" s="18">
        <f t="shared" si="37"/>
        <v>324520.89</v>
      </c>
      <c r="D510" s="18"/>
      <c r="E510" s="18">
        <v>324520.89</v>
      </c>
      <c r="F510" s="18"/>
      <c r="G510" s="18"/>
      <c r="H510" s="18"/>
      <c r="I510" s="18"/>
      <c r="J510" s="18"/>
      <c r="K510" s="18"/>
      <c r="L510" s="10"/>
      <c r="M510" s="18"/>
      <c r="N510" s="10"/>
      <c r="O510" s="18"/>
      <c r="P510" s="18"/>
      <c r="Q510" s="18"/>
      <c r="R510" s="18"/>
      <c r="S510" s="18"/>
    </row>
    <row r="511" spans="1:19" x14ac:dyDescent="0.25">
      <c r="A511" s="9" t="s">
        <v>1000</v>
      </c>
      <c r="B511" s="17" t="s">
        <v>1001</v>
      </c>
      <c r="C511" s="18">
        <f t="shared" si="37"/>
        <v>297407.26</v>
      </c>
      <c r="D511" s="18"/>
      <c r="E511" s="18">
        <v>297407.26</v>
      </c>
      <c r="F511" s="18"/>
      <c r="G511" s="18"/>
      <c r="H511" s="18"/>
      <c r="I511" s="18"/>
      <c r="J511" s="18"/>
      <c r="K511" s="18"/>
      <c r="L511" s="10"/>
      <c r="M511" s="18"/>
      <c r="N511" s="10"/>
      <c r="O511" s="18"/>
      <c r="P511" s="18"/>
      <c r="Q511" s="18"/>
      <c r="R511" s="18"/>
      <c r="S511" s="18"/>
    </row>
    <row r="512" spans="1:19" x14ac:dyDescent="0.25">
      <c r="A512" s="9" t="s">
        <v>1002</v>
      </c>
      <c r="B512" s="17" t="s">
        <v>1003</v>
      </c>
      <c r="C512" s="18">
        <f t="shared" si="37"/>
        <v>13688594.84</v>
      </c>
      <c r="D512" s="18">
        <v>74333.86</v>
      </c>
      <c r="E512" s="18"/>
      <c r="F512" s="18"/>
      <c r="G512" s="18">
        <v>6984675.8799999999</v>
      </c>
      <c r="H512" s="18">
        <v>2833151.95</v>
      </c>
      <c r="I512" s="18">
        <v>718833.86</v>
      </c>
      <c r="J512" s="18">
        <v>3077599.29</v>
      </c>
      <c r="K512" s="18"/>
      <c r="L512" s="10"/>
      <c r="M512" s="18"/>
      <c r="N512" s="10"/>
      <c r="O512" s="18"/>
      <c r="P512" s="18"/>
      <c r="Q512" s="18"/>
      <c r="R512" s="18"/>
      <c r="S512" s="18"/>
    </row>
    <row r="513" spans="1:19" x14ac:dyDescent="0.25">
      <c r="A513" s="9" t="s">
        <v>1004</v>
      </c>
      <c r="B513" s="17" t="s">
        <v>1005</v>
      </c>
      <c r="C513" s="18">
        <f t="shared" si="37"/>
        <v>697216.06</v>
      </c>
      <c r="D513" s="18"/>
      <c r="E513" s="18">
        <v>697216.06</v>
      </c>
      <c r="F513" s="18"/>
      <c r="G513" s="18"/>
      <c r="H513" s="18"/>
      <c r="I513" s="18"/>
      <c r="J513" s="18"/>
      <c r="K513" s="18"/>
      <c r="L513" s="10"/>
      <c r="M513" s="18"/>
      <c r="N513" s="10"/>
      <c r="O513" s="18"/>
      <c r="P513" s="18"/>
      <c r="Q513" s="18"/>
      <c r="R513" s="18"/>
      <c r="S513" s="18"/>
    </row>
    <row r="514" spans="1:19" x14ac:dyDescent="0.25">
      <c r="A514" s="9" t="s">
        <v>1006</v>
      </c>
      <c r="B514" s="17" t="s">
        <v>1007</v>
      </c>
      <c r="C514" s="18">
        <f t="shared" si="37"/>
        <v>574232.36</v>
      </c>
      <c r="D514" s="18"/>
      <c r="E514" s="18">
        <v>574232.36</v>
      </c>
      <c r="F514" s="18"/>
      <c r="G514" s="18"/>
      <c r="H514" s="18"/>
      <c r="I514" s="18"/>
      <c r="J514" s="18"/>
      <c r="K514" s="18"/>
      <c r="L514" s="10"/>
      <c r="M514" s="18"/>
      <c r="N514" s="10"/>
      <c r="O514" s="18"/>
      <c r="P514" s="18"/>
      <c r="Q514" s="18"/>
      <c r="R514" s="18"/>
      <c r="S514" s="18"/>
    </row>
    <row r="515" spans="1:19" x14ac:dyDescent="0.25">
      <c r="A515" s="9" t="s">
        <v>1008</v>
      </c>
      <c r="B515" s="17" t="s">
        <v>1009</v>
      </c>
      <c r="C515" s="18">
        <f t="shared" si="37"/>
        <v>1475996.4</v>
      </c>
      <c r="D515" s="18"/>
      <c r="E515" s="18">
        <v>1475996.4</v>
      </c>
      <c r="F515" s="18"/>
      <c r="G515" s="18"/>
      <c r="H515" s="18"/>
      <c r="I515" s="18"/>
      <c r="J515" s="18"/>
      <c r="K515" s="18"/>
      <c r="L515" s="10"/>
      <c r="M515" s="18"/>
      <c r="N515" s="10"/>
      <c r="O515" s="18"/>
      <c r="P515" s="18"/>
      <c r="Q515" s="18"/>
      <c r="R515" s="18"/>
      <c r="S515" s="18"/>
    </row>
    <row r="516" spans="1:19" x14ac:dyDescent="0.25">
      <c r="A516" s="9" t="s">
        <v>1010</v>
      </c>
      <c r="B516" s="17" t="s">
        <v>1011</v>
      </c>
      <c r="C516" s="18">
        <f t="shared" si="37"/>
        <v>1000165.76</v>
      </c>
      <c r="D516" s="18"/>
      <c r="E516" s="18">
        <v>1000165.76</v>
      </c>
      <c r="F516" s="18"/>
      <c r="G516" s="18"/>
      <c r="H516" s="18"/>
      <c r="I516" s="18"/>
      <c r="J516" s="18"/>
      <c r="K516" s="18"/>
      <c r="L516" s="10"/>
      <c r="M516" s="18"/>
      <c r="N516" s="10"/>
      <c r="O516" s="18"/>
      <c r="P516" s="18"/>
      <c r="Q516" s="18"/>
      <c r="R516" s="18"/>
      <c r="S516" s="18"/>
    </row>
    <row r="517" spans="1:19" x14ac:dyDescent="0.25">
      <c r="A517" s="9" t="s">
        <v>1012</v>
      </c>
      <c r="B517" s="17" t="s">
        <v>1013</v>
      </c>
      <c r="C517" s="18">
        <f t="shared" si="37"/>
        <v>898761.81</v>
      </c>
      <c r="D517" s="18"/>
      <c r="E517" s="18">
        <v>898761.81</v>
      </c>
      <c r="F517" s="18"/>
      <c r="G517" s="18"/>
      <c r="H517" s="18"/>
      <c r="I517" s="18"/>
      <c r="J517" s="18"/>
      <c r="K517" s="18"/>
      <c r="L517" s="10"/>
      <c r="M517" s="18"/>
      <c r="N517" s="10"/>
      <c r="O517" s="18"/>
      <c r="P517" s="18"/>
      <c r="Q517" s="18"/>
      <c r="R517" s="18"/>
      <c r="S517" s="18"/>
    </row>
    <row r="518" spans="1:19" x14ac:dyDescent="0.25">
      <c r="A518" s="9" t="s">
        <v>1014</v>
      </c>
      <c r="B518" s="17" t="s">
        <v>1015</v>
      </c>
      <c r="C518" s="18">
        <f t="shared" si="37"/>
        <v>570770.43999999994</v>
      </c>
      <c r="D518" s="18"/>
      <c r="E518" s="18">
        <v>570770.43999999994</v>
      </c>
      <c r="F518" s="18"/>
      <c r="G518" s="18"/>
      <c r="H518" s="18"/>
      <c r="I518" s="18"/>
      <c r="J518" s="18"/>
      <c r="K518" s="18"/>
      <c r="L518" s="10"/>
      <c r="M518" s="18"/>
      <c r="N518" s="10"/>
      <c r="O518" s="18"/>
      <c r="P518" s="18"/>
      <c r="Q518" s="18"/>
      <c r="R518" s="18"/>
      <c r="S518" s="18"/>
    </row>
    <row r="519" spans="1:19" x14ac:dyDescent="0.25">
      <c r="A519" s="9" t="s">
        <v>1016</v>
      </c>
      <c r="B519" s="17" t="s">
        <v>1017</v>
      </c>
      <c r="C519" s="18">
        <f t="shared" si="37"/>
        <v>1133167.3500000001</v>
      </c>
      <c r="D519" s="18">
        <v>6153.5</v>
      </c>
      <c r="E519" s="18"/>
      <c r="F519" s="18"/>
      <c r="G519" s="18">
        <v>1127013.8500000001</v>
      </c>
      <c r="H519" s="18"/>
      <c r="I519" s="18"/>
      <c r="J519" s="18"/>
      <c r="K519" s="18"/>
      <c r="L519" s="10"/>
      <c r="M519" s="18"/>
      <c r="N519" s="10"/>
      <c r="O519" s="18"/>
      <c r="P519" s="18"/>
      <c r="Q519" s="18"/>
      <c r="R519" s="18"/>
      <c r="S519" s="18"/>
    </row>
    <row r="520" spans="1:19" x14ac:dyDescent="0.25">
      <c r="A520" s="9" t="s">
        <v>1018</v>
      </c>
      <c r="B520" s="17" t="s">
        <v>1019</v>
      </c>
      <c r="C520" s="18">
        <f t="shared" si="37"/>
        <v>574579.82999999996</v>
      </c>
      <c r="D520" s="18"/>
      <c r="E520" s="18">
        <v>574579.82999999996</v>
      </c>
      <c r="F520" s="18"/>
      <c r="G520" s="18"/>
      <c r="H520" s="18"/>
      <c r="I520" s="18"/>
      <c r="J520" s="18"/>
      <c r="K520" s="18"/>
      <c r="L520" s="10"/>
      <c r="M520" s="18"/>
      <c r="N520" s="10"/>
      <c r="O520" s="18"/>
      <c r="P520" s="18"/>
      <c r="Q520" s="18"/>
      <c r="R520" s="18"/>
      <c r="S520" s="18"/>
    </row>
    <row r="521" spans="1:19" x14ac:dyDescent="0.25">
      <c r="A521" s="9" t="s">
        <v>1020</v>
      </c>
      <c r="B521" s="17" t="s">
        <v>1021</v>
      </c>
      <c r="C521" s="18">
        <f t="shared" si="37"/>
        <v>13006331.369999999</v>
      </c>
      <c r="D521" s="18">
        <v>30159.85</v>
      </c>
      <c r="E521" s="18"/>
      <c r="F521" s="18"/>
      <c r="G521" s="18">
        <v>12976171.52</v>
      </c>
      <c r="H521" s="18"/>
      <c r="I521" s="18"/>
      <c r="J521" s="18"/>
      <c r="K521" s="18"/>
      <c r="L521" s="10"/>
      <c r="M521" s="18"/>
      <c r="N521" s="10"/>
      <c r="O521" s="18"/>
      <c r="P521" s="18"/>
      <c r="Q521" s="18"/>
      <c r="R521" s="18"/>
      <c r="S521" s="18"/>
    </row>
    <row r="522" spans="1:19" x14ac:dyDescent="0.25">
      <c r="A522" s="9" t="s">
        <v>1022</v>
      </c>
      <c r="B522" s="17" t="s">
        <v>1023</v>
      </c>
      <c r="C522" s="18">
        <f t="shared" si="37"/>
        <v>64047.94</v>
      </c>
      <c r="D522" s="18"/>
      <c r="E522" s="18">
        <v>64047.94</v>
      </c>
      <c r="F522" s="18"/>
      <c r="G522" s="18"/>
      <c r="H522" s="18"/>
      <c r="I522" s="18"/>
      <c r="J522" s="18"/>
      <c r="K522" s="18"/>
      <c r="L522" s="10"/>
      <c r="M522" s="18"/>
      <c r="N522" s="10"/>
      <c r="O522" s="18"/>
      <c r="P522" s="18"/>
      <c r="Q522" s="18"/>
      <c r="R522" s="18"/>
      <c r="S522" s="18"/>
    </row>
    <row r="523" spans="1:19" x14ac:dyDescent="0.25">
      <c r="A523" s="9" t="s">
        <v>1024</v>
      </c>
      <c r="B523" s="17" t="s">
        <v>1025</v>
      </c>
      <c r="C523" s="18">
        <f t="shared" si="37"/>
        <v>64303.51</v>
      </c>
      <c r="D523" s="18"/>
      <c r="E523" s="18">
        <v>64303.51</v>
      </c>
      <c r="F523" s="18"/>
      <c r="G523" s="18"/>
      <c r="H523" s="18"/>
      <c r="I523" s="18"/>
      <c r="J523" s="18"/>
      <c r="K523" s="18"/>
      <c r="L523" s="10"/>
      <c r="M523" s="18"/>
      <c r="N523" s="10"/>
      <c r="O523" s="18"/>
      <c r="P523" s="18"/>
      <c r="Q523" s="18"/>
      <c r="R523" s="18"/>
      <c r="S523" s="18"/>
    </row>
    <row r="524" spans="1:19" x14ac:dyDescent="0.25">
      <c r="A524" s="9" t="s">
        <v>1026</v>
      </c>
      <c r="B524" s="17" t="s">
        <v>1027</v>
      </c>
      <c r="C524" s="18">
        <f t="shared" si="37"/>
        <v>236590.87</v>
      </c>
      <c r="D524" s="18"/>
      <c r="E524" s="18">
        <v>236590.87</v>
      </c>
      <c r="F524" s="18"/>
      <c r="G524" s="18"/>
      <c r="H524" s="18"/>
      <c r="I524" s="18"/>
      <c r="J524" s="18"/>
      <c r="K524" s="18"/>
      <c r="L524" s="10"/>
      <c r="M524" s="18"/>
      <c r="N524" s="10"/>
      <c r="O524" s="18"/>
      <c r="P524" s="18"/>
      <c r="Q524" s="18"/>
      <c r="R524" s="18"/>
      <c r="S524" s="18"/>
    </row>
    <row r="525" spans="1:19" x14ac:dyDescent="0.25">
      <c r="A525" s="9" t="s">
        <v>1028</v>
      </c>
      <c r="B525" s="17" t="s">
        <v>1029</v>
      </c>
      <c r="C525" s="18">
        <f t="shared" si="37"/>
        <v>1338155.58</v>
      </c>
      <c r="D525" s="18"/>
      <c r="E525" s="18">
        <v>1338155.58</v>
      </c>
      <c r="F525" s="18"/>
      <c r="G525" s="18"/>
      <c r="H525" s="18"/>
      <c r="I525" s="18"/>
      <c r="J525" s="18"/>
      <c r="K525" s="18"/>
      <c r="L525" s="10"/>
      <c r="M525" s="18"/>
      <c r="N525" s="10"/>
      <c r="O525" s="18"/>
      <c r="P525" s="18"/>
      <c r="Q525" s="18"/>
      <c r="R525" s="18"/>
      <c r="S525" s="18"/>
    </row>
    <row r="526" spans="1:19" x14ac:dyDescent="0.25">
      <c r="A526" s="9" t="s">
        <v>1030</v>
      </c>
      <c r="B526" s="17" t="s">
        <v>1031</v>
      </c>
      <c r="C526" s="18">
        <f t="shared" si="37"/>
        <v>1046361.06</v>
      </c>
      <c r="D526" s="18"/>
      <c r="E526" s="18">
        <v>1046361.06</v>
      </c>
      <c r="F526" s="18"/>
      <c r="G526" s="18"/>
      <c r="H526" s="18"/>
      <c r="I526" s="18"/>
      <c r="J526" s="18"/>
      <c r="K526" s="18"/>
      <c r="L526" s="10"/>
      <c r="M526" s="18"/>
      <c r="N526" s="10"/>
      <c r="O526" s="18"/>
      <c r="P526" s="18"/>
      <c r="Q526" s="18"/>
      <c r="R526" s="18"/>
      <c r="S526" s="18"/>
    </row>
    <row r="527" spans="1:19" x14ac:dyDescent="0.25">
      <c r="A527" s="9" t="s">
        <v>1032</v>
      </c>
      <c r="B527" s="17" t="s">
        <v>1033</v>
      </c>
      <c r="C527" s="18">
        <f t="shared" si="37"/>
        <v>764559.18</v>
      </c>
      <c r="D527" s="18"/>
      <c r="E527" s="18">
        <v>764559.18</v>
      </c>
      <c r="F527" s="18"/>
      <c r="G527" s="18"/>
      <c r="H527" s="18"/>
      <c r="I527" s="18"/>
      <c r="J527" s="18"/>
      <c r="K527" s="18"/>
      <c r="L527" s="10"/>
      <c r="M527" s="18"/>
      <c r="N527" s="10"/>
      <c r="O527" s="18"/>
      <c r="P527" s="18"/>
      <c r="Q527" s="18"/>
      <c r="R527" s="18"/>
      <c r="S527" s="18"/>
    </row>
    <row r="528" spans="1:19" x14ac:dyDescent="0.25">
      <c r="A528" s="9" t="s">
        <v>1034</v>
      </c>
      <c r="B528" s="17" t="s">
        <v>1035</v>
      </c>
      <c r="C528" s="18">
        <f t="shared" si="37"/>
        <v>198733.48</v>
      </c>
      <c r="D528" s="18"/>
      <c r="E528" s="18">
        <v>198733.48</v>
      </c>
      <c r="F528" s="18"/>
      <c r="G528" s="18"/>
      <c r="H528" s="18"/>
      <c r="I528" s="18"/>
      <c r="J528" s="18"/>
      <c r="K528" s="18"/>
      <c r="L528" s="10"/>
      <c r="M528" s="18"/>
      <c r="N528" s="10"/>
      <c r="O528" s="18"/>
      <c r="P528" s="18"/>
      <c r="Q528" s="18"/>
      <c r="R528" s="18"/>
      <c r="S528" s="18"/>
    </row>
    <row r="529" spans="1:19" x14ac:dyDescent="0.25">
      <c r="A529" s="9" t="s">
        <v>1036</v>
      </c>
      <c r="B529" s="17" t="s">
        <v>1037</v>
      </c>
      <c r="C529" s="18">
        <f t="shared" si="37"/>
        <v>200311.18</v>
      </c>
      <c r="D529" s="18"/>
      <c r="E529" s="18">
        <v>200311.18</v>
      </c>
      <c r="F529" s="18"/>
      <c r="G529" s="18"/>
      <c r="H529" s="18"/>
      <c r="I529" s="18"/>
      <c r="J529" s="18"/>
      <c r="K529" s="18"/>
      <c r="L529" s="10"/>
      <c r="M529" s="18"/>
      <c r="N529" s="10"/>
      <c r="O529" s="18"/>
      <c r="P529" s="18"/>
      <c r="Q529" s="18"/>
      <c r="R529" s="18"/>
      <c r="S529" s="18"/>
    </row>
    <row r="530" spans="1:19" ht="15" customHeight="1" x14ac:dyDescent="0.25">
      <c r="A530" s="33"/>
      <c r="B530" s="33" t="s">
        <v>1038</v>
      </c>
      <c r="C530" s="18">
        <f>ROUND(D530+E530+F530+G530+H530+I530+J530+K530+M530+O530+P530+Q530+R530+S530,2)</f>
        <v>38455419.25</v>
      </c>
      <c r="D530" s="18">
        <f t="shared" ref="D530:S530" si="38">SUM(D509:D529)</f>
        <v>110647.20999999999</v>
      </c>
      <c r="E530" s="18">
        <f t="shared" si="38"/>
        <v>10627325.689999999</v>
      </c>
      <c r="F530" s="18">
        <f t="shared" si="38"/>
        <v>0</v>
      </c>
      <c r="G530" s="18">
        <f t="shared" si="38"/>
        <v>21087861.25</v>
      </c>
      <c r="H530" s="18">
        <f t="shared" si="38"/>
        <v>2833151.95</v>
      </c>
      <c r="I530" s="18">
        <f t="shared" si="38"/>
        <v>718833.86</v>
      </c>
      <c r="J530" s="18">
        <f t="shared" si="38"/>
        <v>3077599.29</v>
      </c>
      <c r="K530" s="18">
        <f t="shared" si="38"/>
        <v>0</v>
      </c>
      <c r="L530" s="10">
        <f t="shared" si="38"/>
        <v>0</v>
      </c>
      <c r="M530" s="18">
        <f t="shared" si="38"/>
        <v>0</v>
      </c>
      <c r="N530" s="18" t="s">
        <v>42</v>
      </c>
      <c r="O530" s="18">
        <f t="shared" si="38"/>
        <v>0</v>
      </c>
      <c r="P530" s="18">
        <f t="shared" si="38"/>
        <v>0</v>
      </c>
      <c r="Q530" s="18">
        <f t="shared" si="38"/>
        <v>0</v>
      </c>
      <c r="R530" s="18">
        <f t="shared" si="38"/>
        <v>0</v>
      </c>
      <c r="S530" s="18">
        <f t="shared" si="38"/>
        <v>0</v>
      </c>
    </row>
    <row r="531" spans="1:19" ht="15" customHeight="1" x14ac:dyDescent="0.25">
      <c r="A531" s="34"/>
      <c r="B531" s="34" t="s">
        <v>1039</v>
      </c>
      <c r="C531" s="19"/>
      <c r="D531" s="13"/>
      <c r="E531" s="13"/>
      <c r="F531" s="13"/>
      <c r="G531" s="13"/>
      <c r="H531" s="13"/>
      <c r="I531" s="13"/>
      <c r="J531" s="13"/>
      <c r="K531" s="13"/>
      <c r="L531" s="14"/>
      <c r="M531" s="13"/>
      <c r="N531" s="14"/>
      <c r="O531" s="13"/>
      <c r="P531" s="13"/>
      <c r="Q531" s="13"/>
      <c r="R531" s="13"/>
      <c r="S531" s="13"/>
    </row>
    <row r="532" spans="1:19" x14ac:dyDescent="0.25">
      <c r="A532" s="9" t="s">
        <v>1040</v>
      </c>
      <c r="B532" s="17" t="s">
        <v>1041</v>
      </c>
      <c r="C532" s="18">
        <f>ROUNDUP(SUM(D532+E532+F532+G532+H532+I532+J532+K532+M532+O532+P532+Q532+R532+S532),2)</f>
        <v>190984.83</v>
      </c>
      <c r="D532" s="18"/>
      <c r="E532" s="18">
        <v>190984.83</v>
      </c>
      <c r="F532" s="18"/>
      <c r="G532" s="18"/>
      <c r="H532" s="18"/>
      <c r="I532" s="18"/>
      <c r="J532" s="18"/>
      <c r="K532" s="18"/>
      <c r="L532" s="10"/>
      <c r="M532" s="18"/>
      <c r="N532" s="10"/>
      <c r="O532" s="18"/>
      <c r="P532" s="18"/>
      <c r="Q532" s="18"/>
      <c r="R532" s="18"/>
      <c r="S532" s="18"/>
    </row>
    <row r="533" spans="1:19" x14ac:dyDescent="0.25">
      <c r="A533" s="9" t="s">
        <v>1042</v>
      </c>
      <c r="B533" s="17" t="s">
        <v>1043</v>
      </c>
      <c r="C533" s="18">
        <f>ROUNDUP(SUM(D533+E533+F533+G533+H533+I533+J533+K533+M533+O533+P533+Q533+R533+S533),2)</f>
        <v>237257.2</v>
      </c>
      <c r="D533" s="18"/>
      <c r="E533" s="18">
        <v>237257.2</v>
      </c>
      <c r="F533" s="18"/>
      <c r="G533" s="18"/>
      <c r="H533" s="18"/>
      <c r="I533" s="18"/>
      <c r="J533" s="18"/>
      <c r="K533" s="18"/>
      <c r="L533" s="10"/>
      <c r="M533" s="18"/>
      <c r="N533" s="10"/>
      <c r="O533" s="18"/>
      <c r="P533" s="18"/>
      <c r="Q533" s="18"/>
      <c r="R533" s="18"/>
      <c r="S533" s="18"/>
    </row>
    <row r="534" spans="1:19" x14ac:dyDescent="0.25">
      <c r="A534" s="9" t="s">
        <v>1044</v>
      </c>
      <c r="B534" s="17" t="s">
        <v>1045</v>
      </c>
      <c r="C534" s="18">
        <f>ROUNDUP(SUM(D534+E534+F534+G534+H534+I534+J534+K534+M534+O534+P534+Q534+R534+S534),2)</f>
        <v>15612087.859999999</v>
      </c>
      <c r="D534" s="18">
        <v>299921.55</v>
      </c>
      <c r="E534" s="18">
        <v>316089.12</v>
      </c>
      <c r="F534" s="18"/>
      <c r="G534" s="18">
        <v>9414467.2300000004</v>
      </c>
      <c r="H534" s="18">
        <v>3813475.12</v>
      </c>
      <c r="I534" s="18">
        <v>1768134.84</v>
      </c>
      <c r="J534" s="18"/>
      <c r="K534" s="18"/>
      <c r="L534" s="10"/>
      <c r="M534" s="18"/>
      <c r="N534" s="10"/>
      <c r="O534" s="18"/>
      <c r="P534" s="18"/>
      <c r="Q534" s="18"/>
      <c r="R534" s="18"/>
      <c r="S534" s="18"/>
    </row>
    <row r="535" spans="1:19" x14ac:dyDescent="0.25">
      <c r="A535" s="9" t="s">
        <v>1046</v>
      </c>
      <c r="B535" s="17" t="s">
        <v>1047</v>
      </c>
      <c r="C535" s="18">
        <f>ROUNDUP(SUM(D535+E535+F535+G535+H535+I535+J535+K535+M535+O535+P535+Q535+R535+S535),2)</f>
        <v>13563206.380000001</v>
      </c>
      <c r="D535" s="18">
        <v>260080.29</v>
      </c>
      <c r="E535" s="18">
        <v>299111.46000000002</v>
      </c>
      <c r="F535" s="18"/>
      <c r="G535" s="18">
        <v>6081325.1299999999</v>
      </c>
      <c r="H535" s="18">
        <v>3696391.69</v>
      </c>
      <c r="I535" s="18">
        <v>1502580.82</v>
      </c>
      <c r="J535" s="18">
        <v>1723716.99</v>
      </c>
      <c r="K535" s="18"/>
      <c r="L535" s="10"/>
      <c r="M535" s="18"/>
      <c r="N535" s="10"/>
      <c r="O535" s="18"/>
      <c r="P535" s="18"/>
      <c r="Q535" s="18"/>
      <c r="R535" s="18"/>
      <c r="S535" s="18"/>
    </row>
    <row r="536" spans="1:19" x14ac:dyDescent="0.25">
      <c r="A536" s="9" t="s">
        <v>1048</v>
      </c>
      <c r="B536" s="17" t="s">
        <v>1049</v>
      </c>
      <c r="C536" s="18">
        <f>ROUNDUP(SUM(D536+E536+F536+G536+H536+I536+J536+K536+M536+O536+P536+Q536+R536+S536),2)</f>
        <v>241461.9</v>
      </c>
      <c r="D536" s="18"/>
      <c r="E536" s="18">
        <v>241461.9</v>
      </c>
      <c r="F536" s="18"/>
      <c r="G536" s="18"/>
      <c r="H536" s="18"/>
      <c r="I536" s="18"/>
      <c r="J536" s="18"/>
      <c r="K536" s="18"/>
      <c r="L536" s="10"/>
      <c r="M536" s="18"/>
      <c r="N536" s="10"/>
      <c r="O536" s="18"/>
      <c r="P536" s="18"/>
      <c r="Q536" s="18"/>
      <c r="R536" s="18"/>
      <c r="S536" s="18"/>
    </row>
    <row r="537" spans="1:19" x14ac:dyDescent="0.25">
      <c r="A537" s="9" t="s">
        <v>1050</v>
      </c>
      <c r="B537" s="24" t="s">
        <v>1051</v>
      </c>
      <c r="C537" s="18">
        <f>ROUND(SUM(D537+E537+F537+G537+H537+I537+J537+K537+M537+O537+P537+Q537+R537+S537),2)</f>
        <v>254622.33</v>
      </c>
      <c r="D537" s="18">
        <v>4650.8999999999996</v>
      </c>
      <c r="E537" s="18"/>
      <c r="F537" s="18"/>
      <c r="G537" s="18"/>
      <c r="H537" s="18"/>
      <c r="I537" s="18"/>
      <c r="J537" s="18"/>
      <c r="K537" s="25">
        <v>249971.43</v>
      </c>
      <c r="L537" s="10"/>
      <c r="M537" s="18"/>
      <c r="N537" s="10"/>
      <c r="O537" s="18"/>
      <c r="P537" s="18"/>
      <c r="Q537" s="18"/>
      <c r="R537" s="18"/>
      <c r="S537" s="18"/>
    </row>
    <row r="538" spans="1:19" x14ac:dyDescent="0.25">
      <c r="A538" s="9" t="s">
        <v>1052</v>
      </c>
      <c r="B538" s="17" t="s">
        <v>1053</v>
      </c>
      <c r="C538" s="18">
        <f>ROUNDUP(SUM(D538+E538+F538+G538+H538+I538+J538+K538+M538+O538+P538+Q538+R538+S538),2)</f>
        <v>34130.86</v>
      </c>
      <c r="D538" s="18"/>
      <c r="E538" s="18">
        <v>34130.86</v>
      </c>
      <c r="F538" s="18"/>
      <c r="G538" s="18"/>
      <c r="H538" s="18"/>
      <c r="I538" s="18"/>
      <c r="J538" s="18"/>
      <c r="K538" s="18"/>
      <c r="L538" s="10"/>
      <c r="M538" s="18"/>
      <c r="N538" s="10"/>
      <c r="O538" s="18"/>
      <c r="P538" s="18"/>
      <c r="Q538" s="18"/>
      <c r="R538" s="18"/>
      <c r="S538" s="18"/>
    </row>
    <row r="539" spans="1:19" x14ac:dyDescent="0.25">
      <c r="A539" s="9" t="s">
        <v>1054</v>
      </c>
      <c r="B539" s="17" t="s">
        <v>1055</v>
      </c>
      <c r="C539" s="18">
        <f t="shared" ref="C539:C552" si="39">ROUNDUP(SUM(D539+E539+F539+G539+H539+I539+J539+K539+M539+O539+P539+Q539+R539+S539),2)</f>
        <v>102228.62</v>
      </c>
      <c r="D539" s="18"/>
      <c r="E539" s="18">
        <v>102228.62</v>
      </c>
      <c r="F539" s="18"/>
      <c r="G539" s="18"/>
      <c r="H539" s="18"/>
      <c r="I539" s="18"/>
      <c r="J539" s="18"/>
      <c r="K539" s="18"/>
      <c r="L539" s="10"/>
      <c r="M539" s="18"/>
      <c r="N539" s="10"/>
      <c r="O539" s="18"/>
      <c r="P539" s="18"/>
      <c r="Q539" s="18"/>
      <c r="R539" s="18"/>
      <c r="S539" s="18"/>
    </row>
    <row r="540" spans="1:19" x14ac:dyDescent="0.25">
      <c r="A540" s="9" t="s">
        <v>1056</v>
      </c>
      <c r="B540" s="17" t="s">
        <v>1057</v>
      </c>
      <c r="C540" s="18">
        <f t="shared" si="39"/>
        <v>100829.44</v>
      </c>
      <c r="D540" s="18"/>
      <c r="E540" s="18">
        <v>100829.44</v>
      </c>
      <c r="F540" s="18"/>
      <c r="G540" s="18"/>
      <c r="H540" s="18"/>
      <c r="I540" s="18"/>
      <c r="J540" s="18"/>
      <c r="K540" s="18"/>
      <c r="L540" s="10"/>
      <c r="M540" s="18"/>
      <c r="N540" s="10"/>
      <c r="O540" s="18"/>
      <c r="P540" s="18"/>
      <c r="Q540" s="18"/>
      <c r="R540" s="18"/>
      <c r="S540" s="18"/>
    </row>
    <row r="541" spans="1:19" x14ac:dyDescent="0.25">
      <c r="A541" s="9" t="s">
        <v>1058</v>
      </c>
      <c r="B541" s="17" t="s">
        <v>1059</v>
      </c>
      <c r="C541" s="18">
        <f>ROUNDUP(SUM(D541+E541+F541+G541+H541+I541+J541+K541+M541+O541+P541+Q541+R541+S541),2)</f>
        <v>164683.65</v>
      </c>
      <c r="D541" s="18"/>
      <c r="E541" s="18">
        <v>164683.65</v>
      </c>
      <c r="F541" s="18"/>
      <c r="G541" s="18"/>
      <c r="H541" s="18"/>
      <c r="I541" s="18"/>
      <c r="J541" s="18"/>
      <c r="K541" s="18"/>
      <c r="L541" s="10"/>
      <c r="M541" s="18"/>
      <c r="N541" s="10"/>
      <c r="O541" s="18"/>
      <c r="P541" s="18"/>
      <c r="Q541" s="18"/>
      <c r="R541" s="18"/>
      <c r="S541" s="18"/>
    </row>
    <row r="542" spans="1:19" x14ac:dyDescent="0.25">
      <c r="A542" s="9" t="s">
        <v>1060</v>
      </c>
      <c r="B542" s="17" t="s">
        <v>1061</v>
      </c>
      <c r="C542" s="18">
        <f t="shared" si="39"/>
        <v>54905.43</v>
      </c>
      <c r="D542" s="18"/>
      <c r="E542" s="18">
        <v>54905.43</v>
      </c>
      <c r="F542" s="18"/>
      <c r="G542" s="18"/>
      <c r="H542" s="18"/>
      <c r="I542" s="18"/>
      <c r="J542" s="18"/>
      <c r="K542" s="18"/>
      <c r="L542" s="10"/>
      <c r="M542" s="18"/>
      <c r="N542" s="10"/>
      <c r="O542" s="18"/>
      <c r="P542" s="18"/>
      <c r="Q542" s="18"/>
      <c r="R542" s="18"/>
      <c r="S542" s="18"/>
    </row>
    <row r="543" spans="1:19" x14ac:dyDescent="0.25">
      <c r="A543" s="9" t="s">
        <v>1062</v>
      </c>
      <c r="B543" s="17" t="s">
        <v>1063</v>
      </c>
      <c r="C543" s="18">
        <f>ROUNDUP(SUM(D543+E543+F543+G543+H543+I543+J543+K543+M543+O543+P543+Q543+R543+S543),2)</f>
        <v>135506.32</v>
      </c>
      <c r="D543" s="18"/>
      <c r="E543" s="18">
        <v>135506.32</v>
      </c>
      <c r="F543" s="18"/>
      <c r="G543" s="18"/>
      <c r="H543" s="18"/>
      <c r="I543" s="18"/>
      <c r="J543" s="18"/>
      <c r="K543" s="18"/>
      <c r="L543" s="10"/>
      <c r="M543" s="18"/>
      <c r="N543" s="10"/>
      <c r="O543" s="18"/>
      <c r="P543" s="18"/>
      <c r="Q543" s="18"/>
      <c r="R543" s="18"/>
      <c r="S543" s="18"/>
    </row>
    <row r="544" spans="1:19" x14ac:dyDescent="0.25">
      <c r="A544" s="9" t="s">
        <v>1064</v>
      </c>
      <c r="B544" s="17" t="s">
        <v>1065</v>
      </c>
      <c r="C544" s="18">
        <f t="shared" si="39"/>
        <v>91258.37</v>
      </c>
      <c r="D544" s="18"/>
      <c r="E544" s="18">
        <v>91258.37</v>
      </c>
      <c r="F544" s="18"/>
      <c r="G544" s="18"/>
      <c r="H544" s="18"/>
      <c r="I544" s="18"/>
      <c r="J544" s="18"/>
      <c r="K544" s="18"/>
      <c r="L544" s="10"/>
      <c r="M544" s="18"/>
      <c r="N544" s="10"/>
      <c r="O544" s="18"/>
      <c r="P544" s="18"/>
      <c r="Q544" s="18"/>
      <c r="R544" s="18"/>
      <c r="S544" s="18"/>
    </row>
    <row r="545" spans="1:19" x14ac:dyDescent="0.25">
      <c r="A545" s="9" t="s">
        <v>1066</v>
      </c>
      <c r="B545" s="17" t="s">
        <v>1067</v>
      </c>
      <c r="C545" s="18">
        <f t="shared" si="39"/>
        <v>162363.70000000001</v>
      </c>
      <c r="D545" s="18"/>
      <c r="E545" s="18">
        <v>162363.70000000001</v>
      </c>
      <c r="F545" s="18"/>
      <c r="G545" s="18"/>
      <c r="H545" s="18"/>
      <c r="I545" s="18"/>
      <c r="J545" s="18"/>
      <c r="K545" s="18"/>
      <c r="L545" s="10"/>
      <c r="M545" s="18"/>
      <c r="N545" s="10"/>
      <c r="O545" s="18"/>
      <c r="P545" s="18"/>
      <c r="Q545" s="18"/>
      <c r="R545" s="18"/>
      <c r="S545" s="18"/>
    </row>
    <row r="546" spans="1:19" x14ac:dyDescent="0.25">
      <c r="A546" s="9" t="s">
        <v>1068</v>
      </c>
      <c r="B546" s="17" t="s">
        <v>1069</v>
      </c>
      <c r="C546" s="18">
        <f t="shared" si="39"/>
        <v>166888.35</v>
      </c>
      <c r="D546" s="18"/>
      <c r="E546" s="18">
        <v>166888.35</v>
      </c>
      <c r="F546" s="18"/>
      <c r="G546" s="18"/>
      <c r="H546" s="18"/>
      <c r="I546" s="18"/>
      <c r="J546" s="18"/>
      <c r="K546" s="18"/>
      <c r="L546" s="10"/>
      <c r="M546" s="18"/>
      <c r="N546" s="10"/>
      <c r="O546" s="18"/>
      <c r="P546" s="18"/>
      <c r="Q546" s="18"/>
      <c r="R546" s="18"/>
      <c r="S546" s="18"/>
    </row>
    <row r="547" spans="1:19" x14ac:dyDescent="0.25">
      <c r="A547" s="9" t="s">
        <v>1070</v>
      </c>
      <c r="B547" s="17" t="s">
        <v>1071</v>
      </c>
      <c r="C547" s="18">
        <f t="shared" si="39"/>
        <v>56920.3</v>
      </c>
      <c r="D547" s="18"/>
      <c r="E547" s="18">
        <v>56920.3</v>
      </c>
      <c r="F547" s="18"/>
      <c r="G547" s="18"/>
      <c r="H547" s="18"/>
      <c r="I547" s="18"/>
      <c r="J547" s="18"/>
      <c r="K547" s="18"/>
      <c r="L547" s="10"/>
      <c r="M547" s="18"/>
      <c r="N547" s="10"/>
      <c r="O547" s="18"/>
      <c r="P547" s="18"/>
      <c r="Q547" s="18"/>
      <c r="R547" s="18"/>
      <c r="S547" s="18"/>
    </row>
    <row r="548" spans="1:19" x14ac:dyDescent="0.25">
      <c r="A548" s="9" t="s">
        <v>1072</v>
      </c>
      <c r="B548" s="17" t="s">
        <v>1073</v>
      </c>
      <c r="C548" s="18">
        <f t="shared" si="39"/>
        <v>144326.06</v>
      </c>
      <c r="D548" s="18"/>
      <c r="E548" s="18">
        <v>144326.06</v>
      </c>
      <c r="F548" s="18"/>
      <c r="G548" s="18"/>
      <c r="H548" s="18"/>
      <c r="I548" s="18"/>
      <c r="J548" s="18"/>
      <c r="K548" s="18"/>
      <c r="L548" s="10"/>
      <c r="M548" s="18"/>
      <c r="N548" s="10"/>
      <c r="O548" s="18"/>
      <c r="P548" s="18"/>
      <c r="Q548" s="18"/>
      <c r="R548" s="18"/>
      <c r="S548" s="18"/>
    </row>
    <row r="549" spans="1:19" x14ac:dyDescent="0.25">
      <c r="A549" s="9" t="s">
        <v>1074</v>
      </c>
      <c r="B549" s="17" t="s">
        <v>1075</v>
      </c>
      <c r="C549" s="18">
        <f>ROUNDUP(SUM(D549+E549+F549+G549+H549+I549+J549+K549+M549+O549+P549+Q549+R549+S549),2)</f>
        <v>82090.37</v>
      </c>
      <c r="D549" s="18"/>
      <c r="E549" s="18">
        <v>82090.37</v>
      </c>
      <c r="F549" s="18"/>
      <c r="G549" s="18"/>
      <c r="H549" s="18"/>
      <c r="I549" s="18"/>
      <c r="J549" s="18"/>
      <c r="K549" s="18"/>
      <c r="L549" s="10"/>
      <c r="M549" s="18"/>
      <c r="N549" s="10"/>
      <c r="O549" s="18"/>
      <c r="P549" s="18"/>
      <c r="Q549" s="18"/>
      <c r="R549" s="18"/>
      <c r="S549" s="18"/>
    </row>
    <row r="550" spans="1:19" x14ac:dyDescent="0.25">
      <c r="A550" s="9" t="s">
        <v>1076</v>
      </c>
      <c r="B550" s="17" t="s">
        <v>1077</v>
      </c>
      <c r="C550" s="18">
        <f t="shared" si="39"/>
        <v>174706.33</v>
      </c>
      <c r="D550" s="18"/>
      <c r="E550" s="18">
        <v>174706.33</v>
      </c>
      <c r="F550" s="18"/>
      <c r="G550" s="18"/>
      <c r="H550" s="18"/>
      <c r="I550" s="18"/>
      <c r="J550" s="18"/>
      <c r="K550" s="18"/>
      <c r="L550" s="10"/>
      <c r="M550" s="18"/>
      <c r="N550" s="10"/>
      <c r="O550" s="18"/>
      <c r="P550" s="18"/>
      <c r="Q550" s="18"/>
      <c r="R550" s="18"/>
      <c r="S550" s="18"/>
    </row>
    <row r="551" spans="1:19" x14ac:dyDescent="0.25">
      <c r="A551" s="9" t="s">
        <v>1078</v>
      </c>
      <c r="B551" s="17" t="s">
        <v>1079</v>
      </c>
      <c r="C551" s="18">
        <f t="shared" si="39"/>
        <v>56059.93</v>
      </c>
      <c r="D551" s="18"/>
      <c r="E551" s="18">
        <v>56059.93</v>
      </c>
      <c r="F551" s="18"/>
      <c r="G551" s="18"/>
      <c r="H551" s="18"/>
      <c r="I551" s="18"/>
      <c r="J551" s="18"/>
      <c r="K551" s="18"/>
      <c r="L551" s="10"/>
      <c r="M551" s="18"/>
      <c r="N551" s="10"/>
      <c r="O551" s="18"/>
      <c r="P551" s="18"/>
      <c r="Q551" s="18"/>
      <c r="R551" s="18"/>
      <c r="S551" s="18"/>
    </row>
    <row r="552" spans="1:19" x14ac:dyDescent="0.25">
      <c r="A552" s="9" t="s">
        <v>1080</v>
      </c>
      <c r="B552" s="17" t="s">
        <v>1081</v>
      </c>
      <c r="C552" s="18">
        <f t="shared" si="39"/>
        <v>65942.559999999998</v>
      </c>
      <c r="D552" s="18"/>
      <c r="E552" s="18">
        <v>65942.559999999998</v>
      </c>
      <c r="F552" s="18"/>
      <c r="G552" s="18"/>
      <c r="H552" s="18"/>
      <c r="I552" s="18"/>
      <c r="J552" s="18"/>
      <c r="K552" s="18"/>
      <c r="L552" s="10"/>
      <c r="M552" s="18"/>
      <c r="N552" s="10"/>
      <c r="O552" s="18"/>
      <c r="P552" s="18"/>
      <c r="Q552" s="18"/>
      <c r="R552" s="18"/>
      <c r="S552" s="18"/>
    </row>
    <row r="553" spans="1:19" ht="24.75" customHeight="1" x14ac:dyDescent="0.25">
      <c r="A553" s="33"/>
      <c r="B553" s="33" t="s">
        <v>1082</v>
      </c>
      <c r="C553" s="18">
        <f>ROUND(D553+E553+F553+G553+H553+I553+J553+K553+M553+O553+P553+Q553+R553+S553,2)</f>
        <v>31692460.789999999</v>
      </c>
      <c r="D553" s="18">
        <f t="shared" ref="D553:S553" si="40">SUM(D532:D552)</f>
        <v>564652.74</v>
      </c>
      <c r="E553" s="18">
        <f t="shared" si="40"/>
        <v>2877744.8000000007</v>
      </c>
      <c r="F553" s="18">
        <f t="shared" si="40"/>
        <v>0</v>
      </c>
      <c r="G553" s="18">
        <f t="shared" si="40"/>
        <v>15495792.359999999</v>
      </c>
      <c r="H553" s="18">
        <f t="shared" si="40"/>
        <v>7509866.8100000005</v>
      </c>
      <c r="I553" s="18">
        <f t="shared" si="40"/>
        <v>3270715.66</v>
      </c>
      <c r="J553" s="18">
        <f t="shared" si="40"/>
        <v>1723716.99</v>
      </c>
      <c r="K553" s="18">
        <f t="shared" si="40"/>
        <v>249971.43</v>
      </c>
      <c r="L553" s="10">
        <f t="shared" si="40"/>
        <v>0</v>
      </c>
      <c r="M553" s="18">
        <f t="shared" si="40"/>
        <v>0</v>
      </c>
      <c r="N553" s="18" t="s">
        <v>42</v>
      </c>
      <c r="O553" s="18">
        <f t="shared" si="40"/>
        <v>0</v>
      </c>
      <c r="P553" s="18">
        <f t="shared" si="40"/>
        <v>0</v>
      </c>
      <c r="Q553" s="18">
        <f t="shared" si="40"/>
        <v>0</v>
      </c>
      <c r="R553" s="18">
        <f t="shared" si="40"/>
        <v>0</v>
      </c>
      <c r="S553" s="18">
        <f t="shared" si="40"/>
        <v>0</v>
      </c>
    </row>
    <row r="554" spans="1:19" ht="15" customHeight="1" x14ac:dyDescent="0.25">
      <c r="A554" s="34"/>
      <c r="B554" s="34" t="s">
        <v>1083</v>
      </c>
      <c r="C554" s="19"/>
      <c r="D554" s="13"/>
      <c r="E554" s="13"/>
      <c r="F554" s="13"/>
      <c r="G554" s="13"/>
      <c r="H554" s="13"/>
      <c r="I554" s="13"/>
      <c r="J554" s="13"/>
      <c r="K554" s="13"/>
      <c r="L554" s="14"/>
      <c r="M554" s="13"/>
      <c r="N554" s="14"/>
      <c r="O554" s="13"/>
      <c r="P554" s="13"/>
      <c r="Q554" s="13"/>
      <c r="R554" s="13"/>
      <c r="S554" s="13"/>
    </row>
    <row r="555" spans="1:19" x14ac:dyDescent="0.25">
      <c r="A555" s="9" t="s">
        <v>1084</v>
      </c>
      <c r="B555" s="17" t="s">
        <v>1085</v>
      </c>
      <c r="C555" s="18">
        <f t="shared" ref="C555:C589" si="41">ROUNDUP(SUM(D555+E555+F555+G555+H555+I555+J555+K555+M555+O555+P555+Q555+R555+S555),2)</f>
        <v>748029.49</v>
      </c>
      <c r="D555" s="18"/>
      <c r="E555" s="18">
        <v>748029.49</v>
      </c>
      <c r="F555" s="18"/>
      <c r="G555" s="18"/>
      <c r="H555" s="18"/>
      <c r="I555" s="18"/>
      <c r="J555" s="18"/>
      <c r="K555" s="18"/>
      <c r="L555" s="10"/>
      <c r="M555" s="18"/>
      <c r="N555" s="10"/>
      <c r="O555" s="18"/>
      <c r="P555" s="18"/>
      <c r="Q555" s="18"/>
      <c r="R555" s="18"/>
      <c r="S555" s="18"/>
    </row>
    <row r="556" spans="1:19" x14ac:dyDescent="0.25">
      <c r="A556" s="9" t="s">
        <v>1086</v>
      </c>
      <c r="B556" s="17" t="s">
        <v>1087</v>
      </c>
      <c r="C556" s="18">
        <f t="shared" si="41"/>
        <v>693202.96</v>
      </c>
      <c r="D556" s="18"/>
      <c r="E556" s="18">
        <v>693202.96</v>
      </c>
      <c r="F556" s="18"/>
      <c r="G556" s="18"/>
      <c r="H556" s="18"/>
      <c r="I556" s="18"/>
      <c r="J556" s="18"/>
      <c r="K556" s="18"/>
      <c r="L556" s="10"/>
      <c r="M556" s="18"/>
      <c r="N556" s="10"/>
      <c r="O556" s="18"/>
      <c r="P556" s="18"/>
      <c r="Q556" s="18"/>
      <c r="R556" s="18"/>
      <c r="S556" s="18"/>
    </row>
    <row r="557" spans="1:19" x14ac:dyDescent="0.25">
      <c r="A557" s="9" t="s">
        <v>1088</v>
      </c>
      <c r="B557" s="17" t="s">
        <v>1089</v>
      </c>
      <c r="C557" s="18">
        <f t="shared" si="41"/>
        <v>699813.05</v>
      </c>
      <c r="D557" s="18"/>
      <c r="E557" s="18">
        <v>699813.05</v>
      </c>
      <c r="F557" s="18"/>
      <c r="G557" s="18"/>
      <c r="H557" s="18"/>
      <c r="I557" s="18"/>
      <c r="J557" s="18"/>
      <c r="K557" s="18"/>
      <c r="L557" s="10"/>
      <c r="M557" s="18"/>
      <c r="N557" s="10"/>
      <c r="O557" s="18"/>
      <c r="P557" s="18"/>
      <c r="Q557" s="18"/>
      <c r="R557" s="18"/>
      <c r="S557" s="18"/>
    </row>
    <row r="558" spans="1:19" x14ac:dyDescent="0.25">
      <c r="A558" s="9" t="s">
        <v>1090</v>
      </c>
      <c r="B558" s="17" t="s">
        <v>1091</v>
      </c>
      <c r="C558" s="18">
        <f>ROUNDUP(SUM(D558+E558+F558+G558+H558+I558+J558+K558+M558+O558+P558+Q558+R558+S558),2)</f>
        <v>1765126.87</v>
      </c>
      <c r="D558" s="18"/>
      <c r="E558" s="18">
        <v>1765126.87</v>
      </c>
      <c r="F558" s="18"/>
      <c r="G558" s="18"/>
      <c r="H558" s="18"/>
      <c r="I558" s="18"/>
      <c r="J558" s="18"/>
      <c r="K558" s="18"/>
      <c r="L558" s="10"/>
      <c r="M558" s="18"/>
      <c r="N558" s="10"/>
      <c r="O558" s="18"/>
      <c r="P558" s="18"/>
      <c r="Q558" s="18"/>
      <c r="R558" s="18"/>
      <c r="S558" s="18"/>
    </row>
    <row r="559" spans="1:19" x14ac:dyDescent="0.25">
      <c r="A559" s="9" t="s">
        <v>1092</v>
      </c>
      <c r="B559" s="17" t="s">
        <v>1093</v>
      </c>
      <c r="C559" s="18">
        <f t="shared" si="41"/>
        <v>284712.19</v>
      </c>
      <c r="D559" s="18"/>
      <c r="E559" s="18">
        <v>284712.19</v>
      </c>
      <c r="F559" s="18"/>
      <c r="G559" s="18"/>
      <c r="H559" s="18"/>
      <c r="I559" s="18"/>
      <c r="J559" s="18"/>
      <c r="K559" s="18"/>
      <c r="L559" s="10"/>
      <c r="M559" s="18"/>
      <c r="N559" s="10"/>
      <c r="O559" s="18"/>
      <c r="P559" s="18"/>
      <c r="Q559" s="18"/>
      <c r="R559" s="18"/>
      <c r="S559" s="18"/>
    </row>
    <row r="560" spans="1:19" x14ac:dyDescent="0.25">
      <c r="A560" s="9" t="s">
        <v>1094</v>
      </c>
      <c r="B560" s="17" t="s">
        <v>1095</v>
      </c>
      <c r="C560" s="18">
        <f t="shared" si="41"/>
        <v>1678528.06</v>
      </c>
      <c r="D560" s="18"/>
      <c r="E560" s="18">
        <v>1678528.06</v>
      </c>
      <c r="F560" s="18"/>
      <c r="G560" s="18"/>
      <c r="H560" s="18"/>
      <c r="I560" s="18"/>
      <c r="J560" s="18"/>
      <c r="K560" s="18"/>
      <c r="L560" s="10"/>
      <c r="M560" s="18"/>
      <c r="N560" s="10"/>
      <c r="O560" s="18"/>
      <c r="P560" s="18"/>
      <c r="Q560" s="18"/>
      <c r="R560" s="18"/>
      <c r="S560" s="18"/>
    </row>
    <row r="561" spans="1:19" x14ac:dyDescent="0.25">
      <c r="A561" s="9" t="s">
        <v>1096</v>
      </c>
      <c r="B561" s="17" t="s">
        <v>1097</v>
      </c>
      <c r="C561" s="18">
        <f t="shared" si="41"/>
        <v>473731.61</v>
      </c>
      <c r="D561" s="18"/>
      <c r="E561" s="18">
        <v>473731.61</v>
      </c>
      <c r="F561" s="18"/>
      <c r="G561" s="18"/>
      <c r="H561" s="18"/>
      <c r="I561" s="18"/>
      <c r="J561" s="18"/>
      <c r="K561" s="18"/>
      <c r="L561" s="10"/>
      <c r="M561" s="18"/>
      <c r="N561" s="10"/>
      <c r="O561" s="18"/>
      <c r="P561" s="18"/>
      <c r="Q561" s="18"/>
      <c r="R561" s="18"/>
      <c r="S561" s="18"/>
    </row>
    <row r="562" spans="1:19" x14ac:dyDescent="0.25">
      <c r="A562" s="9" t="s">
        <v>1098</v>
      </c>
      <c r="B562" s="17" t="s">
        <v>1099</v>
      </c>
      <c r="C562" s="18">
        <f t="shared" si="41"/>
        <v>932146.52</v>
      </c>
      <c r="D562" s="18"/>
      <c r="E562" s="18">
        <v>932146.52</v>
      </c>
      <c r="F562" s="18"/>
      <c r="G562" s="18"/>
      <c r="H562" s="18"/>
      <c r="I562" s="18"/>
      <c r="J562" s="18"/>
      <c r="K562" s="18"/>
      <c r="L562" s="10"/>
      <c r="M562" s="18"/>
      <c r="N562" s="10"/>
      <c r="O562" s="18"/>
      <c r="P562" s="18"/>
      <c r="Q562" s="18"/>
      <c r="R562" s="18"/>
      <c r="S562" s="18"/>
    </row>
    <row r="563" spans="1:19" x14ac:dyDescent="0.25">
      <c r="A563" s="9" t="s">
        <v>1100</v>
      </c>
      <c r="B563" s="17" t="s">
        <v>1101</v>
      </c>
      <c r="C563" s="18">
        <f t="shared" si="41"/>
        <v>389526.38</v>
      </c>
      <c r="D563" s="18"/>
      <c r="E563" s="18">
        <v>389526.38</v>
      </c>
      <c r="F563" s="18"/>
      <c r="G563" s="18"/>
      <c r="H563" s="18"/>
      <c r="I563" s="18"/>
      <c r="J563" s="18"/>
      <c r="K563" s="18"/>
      <c r="L563" s="10"/>
      <c r="M563" s="18"/>
      <c r="N563" s="10"/>
      <c r="O563" s="18"/>
      <c r="P563" s="18"/>
      <c r="Q563" s="18"/>
      <c r="R563" s="18"/>
      <c r="S563" s="18"/>
    </row>
    <row r="564" spans="1:19" x14ac:dyDescent="0.25">
      <c r="A564" s="9" t="s">
        <v>1102</v>
      </c>
      <c r="B564" s="17" t="s">
        <v>1103</v>
      </c>
      <c r="C564" s="18">
        <f t="shared" si="41"/>
        <v>700366.66</v>
      </c>
      <c r="D564" s="18"/>
      <c r="E564" s="18">
        <v>700366.66</v>
      </c>
      <c r="F564" s="18"/>
      <c r="G564" s="18"/>
      <c r="H564" s="18"/>
      <c r="I564" s="18"/>
      <c r="J564" s="18"/>
      <c r="K564" s="18"/>
      <c r="L564" s="10"/>
      <c r="M564" s="18"/>
      <c r="N564" s="10"/>
      <c r="O564" s="18"/>
      <c r="P564" s="18"/>
      <c r="Q564" s="18"/>
      <c r="R564" s="18"/>
      <c r="S564" s="18"/>
    </row>
    <row r="565" spans="1:19" x14ac:dyDescent="0.25">
      <c r="A565" s="9" t="s">
        <v>1104</v>
      </c>
      <c r="B565" s="17" t="s">
        <v>1105</v>
      </c>
      <c r="C565" s="18">
        <f>ROUNDUP(SUM(D565+E565+F565+G565+H565+I565+J565+K565+M565+O565+P565+Q565+R565+S565),2)</f>
        <v>9554103.5800000001</v>
      </c>
      <c r="D565" s="18">
        <v>52567.68</v>
      </c>
      <c r="E565" s="18">
        <v>513706.5</v>
      </c>
      <c r="F565" s="18">
        <v>2469125.5</v>
      </c>
      <c r="G565" s="18">
        <v>3110239.72</v>
      </c>
      <c r="H565" s="18">
        <v>1629311.94</v>
      </c>
      <c r="I565" s="18">
        <v>703662.12</v>
      </c>
      <c r="J565" s="18">
        <v>1075490.1200000001</v>
      </c>
      <c r="K565" s="18"/>
      <c r="L565" s="10"/>
      <c r="M565" s="18"/>
      <c r="N565" s="10"/>
      <c r="O565" s="18"/>
      <c r="P565" s="18"/>
      <c r="Q565" s="18"/>
      <c r="R565" s="18"/>
      <c r="S565" s="18"/>
    </row>
    <row r="566" spans="1:19" x14ac:dyDescent="0.25">
      <c r="A566" s="9" t="s">
        <v>1106</v>
      </c>
      <c r="B566" s="17" t="s">
        <v>1107</v>
      </c>
      <c r="C566" s="18">
        <f t="shared" si="41"/>
        <v>25528287.48</v>
      </c>
      <c r="D566" s="18">
        <v>288782.17</v>
      </c>
      <c r="E566" s="18"/>
      <c r="F566" s="18">
        <v>2221160.63</v>
      </c>
      <c r="G566" s="18"/>
      <c r="H566" s="18">
        <v>712766.15</v>
      </c>
      <c r="I566" s="18">
        <v>481702.6</v>
      </c>
      <c r="J566" s="18">
        <v>591519.02</v>
      </c>
      <c r="K566" s="18"/>
      <c r="L566" s="10"/>
      <c r="M566" s="18"/>
      <c r="N566" s="10" t="s">
        <v>355</v>
      </c>
      <c r="O566" s="18">
        <v>6847299.6100000003</v>
      </c>
      <c r="P566" s="18"/>
      <c r="Q566" s="18">
        <v>14385057.300000001</v>
      </c>
      <c r="R566" s="18"/>
      <c r="S566" s="18"/>
    </row>
    <row r="567" spans="1:19" x14ac:dyDescent="0.25">
      <c r="A567" s="9" t="s">
        <v>1108</v>
      </c>
      <c r="B567" s="17" t="s">
        <v>1109</v>
      </c>
      <c r="C567" s="18">
        <f t="shared" si="41"/>
        <v>625990.81000000006</v>
      </c>
      <c r="D567" s="18"/>
      <c r="E567" s="18">
        <v>625990.81000000006</v>
      </c>
      <c r="F567" s="18"/>
      <c r="G567" s="18"/>
      <c r="H567" s="18"/>
      <c r="I567" s="18"/>
      <c r="J567" s="18"/>
      <c r="K567" s="18"/>
      <c r="L567" s="10"/>
      <c r="M567" s="18"/>
      <c r="N567" s="10"/>
      <c r="O567" s="18"/>
      <c r="P567" s="18"/>
      <c r="Q567" s="18"/>
      <c r="R567" s="18"/>
      <c r="S567" s="18"/>
    </row>
    <row r="568" spans="1:19" x14ac:dyDescent="0.25">
      <c r="A568" s="9" t="s">
        <v>1110</v>
      </c>
      <c r="B568" s="17" t="s">
        <v>1111</v>
      </c>
      <c r="C568" s="18">
        <f t="shared" si="41"/>
        <v>2772286.42</v>
      </c>
      <c r="D568" s="18"/>
      <c r="E568" s="18">
        <v>377064.33</v>
      </c>
      <c r="F568" s="18">
        <v>2395222.09</v>
      </c>
      <c r="G568" s="18"/>
      <c r="H568" s="18"/>
      <c r="I568" s="18"/>
      <c r="J568" s="18"/>
      <c r="K568" s="18"/>
      <c r="L568" s="10"/>
      <c r="M568" s="18"/>
      <c r="N568" s="10"/>
      <c r="O568" s="18"/>
      <c r="P568" s="18"/>
      <c r="Q568" s="18"/>
      <c r="R568" s="18"/>
      <c r="S568" s="18"/>
    </row>
    <row r="569" spans="1:19" x14ac:dyDescent="0.25">
      <c r="A569" s="9" t="s">
        <v>1112</v>
      </c>
      <c r="B569" s="17" t="s">
        <v>1113</v>
      </c>
      <c r="C569" s="18">
        <f t="shared" si="41"/>
        <v>371202.92</v>
      </c>
      <c r="D569" s="18"/>
      <c r="E569" s="18">
        <v>371202.92</v>
      </c>
      <c r="F569" s="18"/>
      <c r="G569" s="18"/>
      <c r="H569" s="18"/>
      <c r="I569" s="18"/>
      <c r="J569" s="18"/>
      <c r="K569" s="18"/>
      <c r="L569" s="10"/>
      <c r="M569" s="18"/>
      <c r="N569" s="10"/>
      <c r="O569" s="18"/>
      <c r="P569" s="18"/>
      <c r="Q569" s="18"/>
      <c r="R569" s="18"/>
      <c r="S569" s="18"/>
    </row>
    <row r="570" spans="1:19" x14ac:dyDescent="0.25">
      <c r="A570" s="9" t="s">
        <v>1114</v>
      </c>
      <c r="B570" s="17" t="s">
        <v>1115</v>
      </c>
      <c r="C570" s="18">
        <f t="shared" si="41"/>
        <v>496135.27</v>
      </c>
      <c r="D570" s="18"/>
      <c r="E570" s="18">
        <v>496135.27</v>
      </c>
      <c r="F570" s="18"/>
      <c r="G570" s="18"/>
      <c r="H570" s="18"/>
      <c r="I570" s="18"/>
      <c r="J570" s="18"/>
      <c r="K570" s="18"/>
      <c r="L570" s="10"/>
      <c r="M570" s="18"/>
      <c r="N570" s="10"/>
      <c r="O570" s="18"/>
      <c r="P570" s="18"/>
      <c r="Q570" s="18"/>
      <c r="R570" s="18"/>
      <c r="S570" s="18"/>
    </row>
    <row r="571" spans="1:19" x14ac:dyDescent="0.25">
      <c r="A571" s="9" t="s">
        <v>1116</v>
      </c>
      <c r="B571" s="17" t="s">
        <v>1117</v>
      </c>
      <c r="C571" s="18">
        <f t="shared" si="41"/>
        <v>531504.99</v>
      </c>
      <c r="D571" s="18"/>
      <c r="E571" s="18">
        <v>531504.99</v>
      </c>
      <c r="F571" s="18"/>
      <c r="G571" s="18"/>
      <c r="H571" s="18"/>
      <c r="I571" s="18"/>
      <c r="J571" s="18"/>
      <c r="K571" s="18"/>
      <c r="L571" s="10"/>
      <c r="M571" s="18"/>
      <c r="N571" s="10"/>
      <c r="O571" s="18"/>
      <c r="P571" s="18"/>
      <c r="Q571" s="18"/>
      <c r="R571" s="18"/>
      <c r="S571" s="18"/>
    </row>
    <row r="572" spans="1:19" x14ac:dyDescent="0.25">
      <c r="A572" s="9" t="s">
        <v>1118</v>
      </c>
      <c r="B572" s="17" t="s">
        <v>1119</v>
      </c>
      <c r="C572" s="18">
        <f t="shared" si="41"/>
        <v>361837.03</v>
      </c>
      <c r="D572" s="18"/>
      <c r="E572" s="18">
        <v>361837.03</v>
      </c>
      <c r="F572" s="18"/>
      <c r="G572" s="18"/>
      <c r="H572" s="18"/>
      <c r="I572" s="18"/>
      <c r="J572" s="18"/>
      <c r="K572" s="18"/>
      <c r="L572" s="10"/>
      <c r="M572" s="18"/>
      <c r="N572" s="10"/>
      <c r="O572" s="18"/>
      <c r="P572" s="18"/>
      <c r="Q572" s="18"/>
      <c r="R572" s="18"/>
      <c r="S572" s="18"/>
    </row>
    <row r="573" spans="1:19" x14ac:dyDescent="0.25">
      <c r="A573" s="9" t="s">
        <v>1120</v>
      </c>
      <c r="B573" s="17" t="s">
        <v>1121</v>
      </c>
      <c r="C573" s="18">
        <f t="shared" si="41"/>
        <v>1366675.94</v>
      </c>
      <c r="D573" s="18"/>
      <c r="E573" s="18">
        <v>1366675.94</v>
      </c>
      <c r="F573" s="18"/>
      <c r="G573" s="18"/>
      <c r="H573" s="18"/>
      <c r="I573" s="18"/>
      <c r="J573" s="18"/>
      <c r="K573" s="18"/>
      <c r="L573" s="10"/>
      <c r="M573" s="18"/>
      <c r="N573" s="10"/>
      <c r="O573" s="18"/>
      <c r="P573" s="18"/>
      <c r="Q573" s="18"/>
      <c r="R573" s="18"/>
      <c r="S573" s="18"/>
    </row>
    <row r="574" spans="1:19" x14ac:dyDescent="0.25">
      <c r="A574" s="9" t="s">
        <v>1122</v>
      </c>
      <c r="B574" s="17" t="s">
        <v>1123</v>
      </c>
      <c r="C574" s="18">
        <f t="shared" si="41"/>
        <v>531510.66</v>
      </c>
      <c r="D574" s="18"/>
      <c r="E574" s="18">
        <v>531510.66</v>
      </c>
      <c r="F574" s="18"/>
      <c r="G574" s="18"/>
      <c r="H574" s="18"/>
      <c r="I574" s="18"/>
      <c r="J574" s="18"/>
      <c r="K574" s="18"/>
      <c r="L574" s="10"/>
      <c r="M574" s="18"/>
      <c r="N574" s="10"/>
      <c r="O574" s="18"/>
      <c r="P574" s="18"/>
      <c r="Q574" s="18"/>
      <c r="R574" s="18"/>
      <c r="S574" s="18"/>
    </row>
    <row r="575" spans="1:19" x14ac:dyDescent="0.25">
      <c r="A575" s="9" t="s">
        <v>1124</v>
      </c>
      <c r="B575" s="17" t="s">
        <v>1125</v>
      </c>
      <c r="C575" s="18">
        <f t="shared" si="41"/>
        <v>465237.59</v>
      </c>
      <c r="D575" s="18"/>
      <c r="E575" s="18">
        <v>465237.59</v>
      </c>
      <c r="F575" s="18"/>
      <c r="G575" s="18"/>
      <c r="H575" s="18"/>
      <c r="I575" s="18"/>
      <c r="J575" s="18"/>
      <c r="K575" s="18"/>
      <c r="L575" s="10"/>
      <c r="M575" s="18"/>
      <c r="N575" s="10"/>
      <c r="O575" s="18"/>
      <c r="P575" s="18"/>
      <c r="Q575" s="18"/>
      <c r="R575" s="18"/>
      <c r="S575" s="18"/>
    </row>
    <row r="576" spans="1:19" x14ac:dyDescent="0.25">
      <c r="A576" s="9" t="s">
        <v>1126</v>
      </c>
      <c r="B576" s="17" t="s">
        <v>1127</v>
      </c>
      <c r="C576" s="18">
        <f t="shared" si="41"/>
        <v>621240.80000000005</v>
      </c>
      <c r="D576" s="18"/>
      <c r="E576" s="18">
        <v>621240.80000000005</v>
      </c>
      <c r="F576" s="18"/>
      <c r="G576" s="18"/>
      <c r="H576" s="18"/>
      <c r="I576" s="18"/>
      <c r="J576" s="18"/>
      <c r="K576" s="18"/>
      <c r="L576" s="10"/>
      <c r="M576" s="18"/>
      <c r="N576" s="10"/>
      <c r="O576" s="18"/>
      <c r="P576" s="18"/>
      <c r="Q576" s="18"/>
      <c r="R576" s="18"/>
      <c r="S576" s="18"/>
    </row>
    <row r="577" spans="1:19" x14ac:dyDescent="0.25">
      <c r="A577" s="9" t="s">
        <v>1128</v>
      </c>
      <c r="B577" s="17" t="s">
        <v>1129</v>
      </c>
      <c r="C577" s="18">
        <f t="shared" si="41"/>
        <v>735349.18</v>
      </c>
      <c r="D577" s="18"/>
      <c r="E577" s="18">
        <v>735349.18</v>
      </c>
      <c r="F577" s="18"/>
      <c r="G577" s="18"/>
      <c r="H577" s="18"/>
      <c r="I577" s="18"/>
      <c r="J577" s="18"/>
      <c r="K577" s="18"/>
      <c r="L577" s="10"/>
      <c r="M577" s="18"/>
      <c r="N577" s="10"/>
      <c r="O577" s="18"/>
      <c r="P577" s="18"/>
      <c r="Q577" s="18"/>
      <c r="R577" s="18"/>
      <c r="S577" s="18"/>
    </row>
    <row r="578" spans="1:19" x14ac:dyDescent="0.25">
      <c r="A578" s="9" t="s">
        <v>1130</v>
      </c>
      <c r="B578" s="17" t="s">
        <v>1131</v>
      </c>
      <c r="C578" s="18">
        <f>ROUNDUP(SUM(D578+E578+F578+G578+H578+I578+J578+K578+M578+O578+P578+Q578+R578+S578),2)</f>
        <v>958821.2</v>
      </c>
      <c r="D578" s="18"/>
      <c r="E578" s="18">
        <v>958821.2</v>
      </c>
      <c r="F578" s="18"/>
      <c r="G578" s="18"/>
      <c r="H578" s="18"/>
      <c r="I578" s="18"/>
      <c r="J578" s="18"/>
      <c r="K578" s="18"/>
      <c r="L578" s="10"/>
      <c r="M578" s="18"/>
      <c r="N578" s="10"/>
      <c r="O578" s="18"/>
      <c r="P578" s="18"/>
      <c r="Q578" s="18"/>
      <c r="R578" s="18"/>
      <c r="S578" s="18"/>
    </row>
    <row r="579" spans="1:19" x14ac:dyDescent="0.25">
      <c r="A579" s="9" t="s">
        <v>1132</v>
      </c>
      <c r="B579" s="17" t="s">
        <v>1133</v>
      </c>
      <c r="C579" s="18">
        <f t="shared" si="41"/>
        <v>28363473.940000001</v>
      </c>
      <c r="D579" s="18">
        <f>39212.73+35492.45+4302.98+8232.64</f>
        <v>87240.799999999988</v>
      </c>
      <c r="E579" s="18"/>
      <c r="F579" s="18">
        <v>2918632.24</v>
      </c>
      <c r="G579" s="18">
        <v>3793844.21</v>
      </c>
      <c r="H579" s="18">
        <v>830711.93</v>
      </c>
      <c r="I579" s="18">
        <v>404744.76</v>
      </c>
      <c r="J579" s="18">
        <v>747513.19</v>
      </c>
      <c r="K579" s="18"/>
      <c r="L579" s="10"/>
      <c r="M579" s="18"/>
      <c r="N579" s="10" t="s">
        <v>355</v>
      </c>
      <c r="O579" s="18">
        <v>11428450.470000001</v>
      </c>
      <c r="P579" s="18"/>
      <c r="Q579" s="18">
        <v>8152336.3399999999</v>
      </c>
      <c r="R579" s="18"/>
      <c r="S579" s="18"/>
    </row>
    <row r="580" spans="1:19" x14ac:dyDescent="0.25">
      <c r="A580" s="9" t="s">
        <v>1134</v>
      </c>
      <c r="B580" s="17" t="s">
        <v>1135</v>
      </c>
      <c r="C580" s="18">
        <f t="shared" si="41"/>
        <v>565895.65</v>
      </c>
      <c r="D580" s="18"/>
      <c r="E580" s="18">
        <v>565895.65</v>
      </c>
      <c r="F580" s="18"/>
      <c r="G580" s="18"/>
      <c r="H580" s="18"/>
      <c r="I580" s="18"/>
      <c r="J580" s="18"/>
      <c r="K580" s="18"/>
      <c r="L580" s="10"/>
      <c r="M580" s="18"/>
      <c r="N580" s="10"/>
      <c r="O580" s="18"/>
      <c r="P580" s="18"/>
      <c r="Q580" s="18"/>
      <c r="R580" s="18"/>
      <c r="S580" s="18"/>
    </row>
    <row r="581" spans="1:19" x14ac:dyDescent="0.25">
      <c r="A581" s="9" t="s">
        <v>1136</v>
      </c>
      <c r="B581" s="17" t="s">
        <v>1137</v>
      </c>
      <c r="C581" s="18">
        <f t="shared" si="41"/>
        <v>507995.78</v>
      </c>
      <c r="D581" s="18"/>
      <c r="E581" s="18">
        <v>507995.78</v>
      </c>
      <c r="F581" s="18"/>
      <c r="G581" s="18"/>
      <c r="H581" s="18"/>
      <c r="I581" s="18"/>
      <c r="J581" s="18"/>
      <c r="K581" s="18"/>
      <c r="L581" s="10"/>
      <c r="M581" s="18"/>
      <c r="N581" s="10"/>
      <c r="O581" s="18"/>
      <c r="P581" s="18"/>
      <c r="Q581" s="18"/>
      <c r="R581" s="18"/>
      <c r="S581" s="18"/>
    </row>
    <row r="582" spans="1:19" x14ac:dyDescent="0.25">
      <c r="A582" s="9" t="s">
        <v>1138</v>
      </c>
      <c r="B582" s="17" t="s">
        <v>1139</v>
      </c>
      <c r="C582" s="18">
        <f t="shared" si="41"/>
        <v>13598222.279999999</v>
      </c>
      <c r="D582" s="18">
        <v>65094.35</v>
      </c>
      <c r="E582" s="18"/>
      <c r="F582" s="18"/>
      <c r="G582" s="18"/>
      <c r="H582" s="18"/>
      <c r="I582" s="18"/>
      <c r="J582" s="18"/>
      <c r="K582" s="18"/>
      <c r="L582" s="10"/>
      <c r="M582" s="18"/>
      <c r="N582" s="10" t="s">
        <v>355</v>
      </c>
      <c r="O582" s="18">
        <v>5062750.1500000004</v>
      </c>
      <c r="P582" s="18"/>
      <c r="Q582" s="18">
        <v>8470377.7799999993</v>
      </c>
      <c r="R582" s="18"/>
      <c r="S582" s="18"/>
    </row>
    <row r="583" spans="1:19" x14ac:dyDescent="0.25">
      <c r="A583" s="9" t="s">
        <v>1140</v>
      </c>
      <c r="B583" s="17" t="s">
        <v>1141</v>
      </c>
      <c r="C583" s="18">
        <f t="shared" si="41"/>
        <v>30732028.129999999</v>
      </c>
      <c r="D583" s="18">
        <v>147113.44</v>
      </c>
      <c r="E583" s="18"/>
      <c r="F583" s="18"/>
      <c r="G583" s="18"/>
      <c r="H583" s="18"/>
      <c r="I583" s="18"/>
      <c r="J583" s="18"/>
      <c r="K583" s="18"/>
      <c r="L583" s="10"/>
      <c r="M583" s="18"/>
      <c r="N583" s="10" t="s">
        <v>355</v>
      </c>
      <c r="O583" s="18">
        <v>16223824.550000001</v>
      </c>
      <c r="P583" s="18"/>
      <c r="Q583" s="18">
        <v>14361090.140000001</v>
      </c>
      <c r="R583" s="18"/>
      <c r="S583" s="18"/>
    </row>
    <row r="584" spans="1:19" x14ac:dyDescent="0.25">
      <c r="A584" s="9" t="s">
        <v>1142</v>
      </c>
      <c r="B584" s="17" t="s">
        <v>1143</v>
      </c>
      <c r="C584" s="18">
        <f t="shared" si="41"/>
        <v>1431813</v>
      </c>
      <c r="D584" s="18"/>
      <c r="E584" s="18">
        <v>1431813</v>
      </c>
      <c r="F584" s="18"/>
      <c r="G584" s="18"/>
      <c r="H584" s="18"/>
      <c r="I584" s="18"/>
      <c r="J584" s="18"/>
      <c r="K584" s="18"/>
      <c r="L584" s="10"/>
      <c r="M584" s="18"/>
      <c r="N584" s="10"/>
      <c r="O584" s="18"/>
      <c r="P584" s="18"/>
      <c r="Q584" s="18"/>
      <c r="R584" s="18"/>
      <c r="S584" s="18"/>
    </row>
    <row r="585" spans="1:19" x14ac:dyDescent="0.25">
      <c r="A585" s="9" t="s">
        <v>1144</v>
      </c>
      <c r="B585" s="17" t="s">
        <v>1145</v>
      </c>
      <c r="C585" s="18">
        <f t="shared" si="41"/>
        <v>28499185.440000001</v>
      </c>
      <c r="D585" s="18">
        <v>61709.32</v>
      </c>
      <c r="E585" s="18"/>
      <c r="F585" s="18">
        <v>2882523.26</v>
      </c>
      <c r="G585" s="18"/>
      <c r="H585" s="18"/>
      <c r="I585" s="18"/>
      <c r="J585" s="18"/>
      <c r="K585" s="18"/>
      <c r="L585" s="10"/>
      <c r="M585" s="18"/>
      <c r="N585" s="10" t="s">
        <v>355</v>
      </c>
      <c r="O585" s="18">
        <v>13080701.99</v>
      </c>
      <c r="P585" s="18"/>
      <c r="Q585" s="18">
        <v>12474250.869999999</v>
      </c>
      <c r="R585" s="18"/>
      <c r="S585" s="18"/>
    </row>
    <row r="586" spans="1:19" x14ac:dyDescent="0.25">
      <c r="A586" s="9" t="s">
        <v>1146</v>
      </c>
      <c r="B586" s="17" t="s">
        <v>1147</v>
      </c>
      <c r="C586" s="18">
        <f t="shared" si="41"/>
        <v>15889876.93</v>
      </c>
      <c r="D586" s="18">
        <v>331243.31</v>
      </c>
      <c r="E586" s="18"/>
      <c r="F586" s="18">
        <v>3868692.41</v>
      </c>
      <c r="G586" s="18">
        <v>1549554.81</v>
      </c>
      <c r="H586" s="18">
        <v>632387.37</v>
      </c>
      <c r="I586" s="18">
        <v>512651.25</v>
      </c>
      <c r="J586" s="18">
        <v>509173.96</v>
      </c>
      <c r="K586" s="18"/>
      <c r="L586" s="10"/>
      <c r="M586" s="18"/>
      <c r="N586" s="10"/>
      <c r="O586" s="18"/>
      <c r="P586" s="18"/>
      <c r="Q586" s="18">
        <v>8486173.8200000003</v>
      </c>
      <c r="R586" s="18"/>
      <c r="S586" s="18"/>
    </row>
    <row r="587" spans="1:19" x14ac:dyDescent="0.25">
      <c r="A587" s="9" t="s">
        <v>1148</v>
      </c>
      <c r="B587" s="17" t="s">
        <v>1149</v>
      </c>
      <c r="C587" s="18">
        <f t="shared" si="41"/>
        <v>7517258.9800000004</v>
      </c>
      <c r="D587" s="18">
        <v>150601.78</v>
      </c>
      <c r="E587" s="18">
        <v>184758.25</v>
      </c>
      <c r="F587" s="18"/>
      <c r="G587" s="18"/>
      <c r="H587" s="18"/>
      <c r="I587" s="18"/>
      <c r="J587" s="18"/>
      <c r="K587" s="18"/>
      <c r="L587" s="10">
        <v>2</v>
      </c>
      <c r="M587" s="18">
        <v>7181898.9500000002</v>
      </c>
      <c r="N587" s="10"/>
      <c r="O587" s="18"/>
      <c r="P587" s="18"/>
      <c r="Q587" s="18"/>
      <c r="R587" s="18"/>
      <c r="S587" s="18"/>
    </row>
    <row r="588" spans="1:19" x14ac:dyDescent="0.25">
      <c r="A588" s="9" t="s">
        <v>1150</v>
      </c>
      <c r="B588" s="17" t="s">
        <v>1151</v>
      </c>
      <c r="C588" s="18">
        <f t="shared" si="41"/>
        <v>3536046.8</v>
      </c>
      <c r="D588" s="18">
        <v>32568.89</v>
      </c>
      <c r="E588" s="18">
        <v>245677.51</v>
      </c>
      <c r="F588" s="18"/>
      <c r="G588" s="18">
        <v>2279553.85</v>
      </c>
      <c r="H588" s="18">
        <v>572270.34</v>
      </c>
      <c r="I588" s="18">
        <v>4072.28</v>
      </c>
      <c r="J588" s="18">
        <v>401903.93</v>
      </c>
      <c r="K588" s="18"/>
      <c r="L588" s="10"/>
      <c r="M588" s="18"/>
      <c r="N588" s="10"/>
      <c r="O588" s="18"/>
      <c r="P588" s="18"/>
      <c r="Q588" s="18"/>
      <c r="R588" s="18"/>
      <c r="S588" s="18"/>
    </row>
    <row r="589" spans="1:19" x14ac:dyDescent="0.25">
      <c r="A589" s="9" t="s">
        <v>1152</v>
      </c>
      <c r="B589" s="17" t="s">
        <v>1153</v>
      </c>
      <c r="C589" s="18">
        <f t="shared" si="41"/>
        <v>345727.25</v>
      </c>
      <c r="D589" s="18"/>
      <c r="E589" s="18">
        <v>345727.25</v>
      </c>
      <c r="F589" s="18"/>
      <c r="G589" s="18"/>
      <c r="H589" s="18"/>
      <c r="I589" s="18"/>
      <c r="J589" s="18"/>
      <c r="K589" s="18"/>
      <c r="L589" s="10"/>
      <c r="M589" s="18"/>
      <c r="N589" s="10"/>
      <c r="O589" s="18"/>
      <c r="P589" s="18"/>
      <c r="Q589" s="18"/>
      <c r="R589" s="18"/>
      <c r="S589" s="18"/>
    </row>
    <row r="590" spans="1:19" x14ac:dyDescent="0.25">
      <c r="A590" s="9" t="s">
        <v>1154</v>
      </c>
      <c r="B590" s="17" t="s">
        <v>1155</v>
      </c>
      <c r="C590" s="18">
        <f>ROUND(SUM(D590+E590+F590+G590+H590+I590+J590+K590+M590+O590+P590+Q590+R590+S590),2)</f>
        <v>5703319.9100000001</v>
      </c>
      <c r="D590" s="18">
        <v>68739.03</v>
      </c>
      <c r="E590" s="18"/>
      <c r="F590" s="18">
        <v>2116426.66</v>
      </c>
      <c r="G590" s="18">
        <v>1870929.01</v>
      </c>
      <c r="H590" s="18">
        <v>584777.19999999995</v>
      </c>
      <c r="I590" s="18">
        <v>274273.95</v>
      </c>
      <c r="J590" s="18">
        <v>788174.06</v>
      </c>
      <c r="K590" s="18"/>
      <c r="L590" s="10"/>
      <c r="M590" s="18"/>
      <c r="N590" s="10"/>
      <c r="O590" s="18"/>
      <c r="P590" s="18"/>
      <c r="Q590" s="18"/>
      <c r="R590" s="18"/>
      <c r="S590" s="18"/>
    </row>
    <row r="591" spans="1:19" x14ac:dyDescent="0.25">
      <c r="A591" s="9" t="s">
        <v>1156</v>
      </c>
      <c r="B591" s="17" t="s">
        <v>1157</v>
      </c>
      <c r="C591" s="18">
        <f t="shared" ref="C591:C628" si="42">ROUNDUP(SUM(D591+E591+F591+G591+H591+I591+J591+K591+M591+O591+P591+Q591+R591+S591),2)</f>
        <v>2209007.4500000002</v>
      </c>
      <c r="D591" s="18">
        <v>46049.38</v>
      </c>
      <c r="E591" s="18"/>
      <c r="F591" s="18"/>
      <c r="G591" s="18"/>
      <c r="H591" s="18"/>
      <c r="I591" s="18"/>
      <c r="J591" s="18"/>
      <c r="K591" s="18"/>
      <c r="L591" s="10"/>
      <c r="M591" s="18"/>
      <c r="N591" s="10"/>
      <c r="O591" s="18"/>
      <c r="P591" s="18">
        <v>2162958.0699999998</v>
      </c>
      <c r="Q591" s="18"/>
      <c r="R591" s="18"/>
      <c r="S591" s="18"/>
    </row>
    <row r="592" spans="1:19" x14ac:dyDescent="0.25">
      <c r="A592" s="9" t="s">
        <v>1158</v>
      </c>
      <c r="B592" s="17" t="s">
        <v>1159</v>
      </c>
      <c r="C592" s="18">
        <f t="shared" si="42"/>
        <v>141586.74</v>
      </c>
      <c r="D592" s="18"/>
      <c r="E592" s="18">
        <v>141586.74</v>
      </c>
      <c r="F592" s="18"/>
      <c r="G592" s="18"/>
      <c r="H592" s="18"/>
      <c r="I592" s="18"/>
      <c r="J592" s="18"/>
      <c r="K592" s="18"/>
      <c r="L592" s="10"/>
      <c r="M592" s="18"/>
      <c r="N592" s="10"/>
      <c r="O592" s="18"/>
      <c r="P592" s="18"/>
      <c r="Q592" s="18"/>
      <c r="R592" s="18"/>
      <c r="S592" s="18"/>
    </row>
    <row r="593" spans="1:19" x14ac:dyDescent="0.25">
      <c r="A593" s="9" t="s">
        <v>1160</v>
      </c>
      <c r="B593" s="17" t="s">
        <v>1161</v>
      </c>
      <c r="C593" s="18">
        <f t="shared" si="42"/>
        <v>1193197.78</v>
      </c>
      <c r="D593" s="18"/>
      <c r="E593" s="18">
        <v>1193197.78</v>
      </c>
      <c r="F593" s="18"/>
      <c r="G593" s="18"/>
      <c r="H593" s="18"/>
      <c r="I593" s="18"/>
      <c r="J593" s="18"/>
      <c r="K593" s="18"/>
      <c r="L593" s="10"/>
      <c r="M593" s="18"/>
      <c r="N593" s="10"/>
      <c r="O593" s="18"/>
      <c r="P593" s="18"/>
      <c r="Q593" s="18"/>
      <c r="R593" s="18"/>
      <c r="S593" s="18"/>
    </row>
    <row r="594" spans="1:19" x14ac:dyDescent="0.25">
      <c r="A594" s="9" t="s">
        <v>1162</v>
      </c>
      <c r="B594" s="17" t="s">
        <v>1163</v>
      </c>
      <c r="C594" s="18">
        <f t="shared" si="42"/>
        <v>308350.58</v>
      </c>
      <c r="D594" s="18"/>
      <c r="E594" s="18">
        <v>308350.58</v>
      </c>
      <c r="F594" s="18"/>
      <c r="G594" s="18"/>
      <c r="H594" s="18"/>
      <c r="I594" s="18"/>
      <c r="J594" s="18"/>
      <c r="K594" s="18"/>
      <c r="L594" s="10"/>
      <c r="M594" s="18"/>
      <c r="N594" s="10"/>
      <c r="O594" s="18"/>
      <c r="P594" s="18"/>
      <c r="Q594" s="18"/>
      <c r="R594" s="18"/>
      <c r="S594" s="18"/>
    </row>
    <row r="595" spans="1:19" x14ac:dyDescent="0.25">
      <c r="A595" s="9" t="s">
        <v>1164</v>
      </c>
      <c r="B595" s="17" t="s">
        <v>1165</v>
      </c>
      <c r="C595" s="18">
        <f t="shared" si="42"/>
        <v>586940.34</v>
      </c>
      <c r="D595" s="18"/>
      <c r="E595" s="18">
        <v>586940.34</v>
      </c>
      <c r="F595" s="18"/>
      <c r="G595" s="18"/>
      <c r="H595" s="18"/>
      <c r="I595" s="18"/>
      <c r="J595" s="18"/>
      <c r="K595" s="18"/>
      <c r="L595" s="10"/>
      <c r="M595" s="18"/>
      <c r="N595" s="10"/>
      <c r="O595" s="18"/>
      <c r="P595" s="18"/>
      <c r="Q595" s="18"/>
      <c r="R595" s="18"/>
      <c r="S595" s="18"/>
    </row>
    <row r="596" spans="1:19" x14ac:dyDescent="0.25">
      <c r="A596" s="9" t="s">
        <v>1166</v>
      </c>
      <c r="B596" s="17" t="s">
        <v>1167</v>
      </c>
      <c r="C596" s="18">
        <f t="shared" si="42"/>
        <v>349889.26</v>
      </c>
      <c r="D596" s="18"/>
      <c r="E596" s="18">
        <v>349889.26</v>
      </c>
      <c r="F596" s="18"/>
      <c r="G596" s="18"/>
      <c r="H596" s="18"/>
      <c r="I596" s="18"/>
      <c r="J596" s="18"/>
      <c r="K596" s="18"/>
      <c r="L596" s="10"/>
      <c r="M596" s="18"/>
      <c r="N596" s="10"/>
      <c r="O596" s="18"/>
      <c r="P596" s="18"/>
      <c r="Q596" s="18"/>
      <c r="R596" s="18"/>
      <c r="S596" s="18"/>
    </row>
    <row r="597" spans="1:19" x14ac:dyDescent="0.25">
      <c r="A597" s="9" t="s">
        <v>1168</v>
      </c>
      <c r="B597" s="17" t="s">
        <v>1169</v>
      </c>
      <c r="C597" s="18">
        <f t="shared" si="42"/>
        <v>229771.51</v>
      </c>
      <c r="D597" s="18"/>
      <c r="E597" s="18">
        <v>229771.51</v>
      </c>
      <c r="F597" s="18"/>
      <c r="G597" s="18"/>
      <c r="H597" s="18"/>
      <c r="I597" s="18"/>
      <c r="J597" s="18"/>
      <c r="K597" s="18"/>
      <c r="L597" s="10"/>
      <c r="M597" s="18"/>
      <c r="N597" s="10"/>
      <c r="O597" s="18"/>
      <c r="P597" s="18"/>
      <c r="Q597" s="18"/>
      <c r="R597" s="18"/>
      <c r="S597" s="18"/>
    </row>
    <row r="598" spans="1:19" x14ac:dyDescent="0.25">
      <c r="A598" s="9" t="s">
        <v>1170</v>
      </c>
      <c r="B598" s="17" t="s">
        <v>1171</v>
      </c>
      <c r="C598" s="18">
        <f t="shared" si="42"/>
        <v>686216.77</v>
      </c>
      <c r="D598" s="18"/>
      <c r="E598" s="18">
        <v>686216.77</v>
      </c>
      <c r="F598" s="18"/>
      <c r="G598" s="18"/>
      <c r="H598" s="18"/>
      <c r="I598" s="18"/>
      <c r="J598" s="18"/>
      <c r="K598" s="18"/>
      <c r="L598" s="10"/>
      <c r="M598" s="18"/>
      <c r="N598" s="10"/>
      <c r="O598" s="18"/>
      <c r="P598" s="18"/>
      <c r="Q598" s="18"/>
      <c r="R598" s="18"/>
      <c r="S598" s="18"/>
    </row>
    <row r="599" spans="1:19" x14ac:dyDescent="0.25">
      <c r="A599" s="9" t="s">
        <v>1172</v>
      </c>
      <c r="B599" s="17" t="s">
        <v>1173</v>
      </c>
      <c r="C599" s="18">
        <f t="shared" si="42"/>
        <v>416042.02</v>
      </c>
      <c r="D599" s="18"/>
      <c r="E599" s="18">
        <v>416042.02</v>
      </c>
      <c r="F599" s="18"/>
      <c r="G599" s="18"/>
      <c r="H599" s="18"/>
      <c r="I599" s="18"/>
      <c r="J599" s="18"/>
      <c r="K599" s="18"/>
      <c r="L599" s="10"/>
      <c r="M599" s="18"/>
      <c r="N599" s="10"/>
      <c r="O599" s="18"/>
      <c r="P599" s="18"/>
      <c r="Q599" s="18"/>
      <c r="R599" s="18"/>
      <c r="S599" s="18"/>
    </row>
    <row r="600" spans="1:19" x14ac:dyDescent="0.25">
      <c r="A600" s="9" t="s">
        <v>1174</v>
      </c>
      <c r="B600" s="17" t="s">
        <v>1175</v>
      </c>
      <c r="C600" s="18">
        <f t="shared" si="42"/>
        <v>12065317.539999999</v>
      </c>
      <c r="D600" s="18">
        <v>24895.77</v>
      </c>
      <c r="E600" s="18">
        <v>567713.32999999996</v>
      </c>
      <c r="F600" s="18"/>
      <c r="G600" s="18"/>
      <c r="H600" s="18"/>
      <c r="I600" s="18"/>
      <c r="J600" s="18"/>
      <c r="K600" s="18"/>
      <c r="L600" s="10"/>
      <c r="M600" s="18"/>
      <c r="N600" s="10" t="s">
        <v>355</v>
      </c>
      <c r="O600" s="18">
        <v>4724945.34</v>
      </c>
      <c r="P600" s="18"/>
      <c r="Q600" s="18">
        <v>6747763.0999999996</v>
      </c>
      <c r="R600" s="18"/>
      <c r="S600" s="18"/>
    </row>
    <row r="601" spans="1:19" x14ac:dyDescent="0.25">
      <c r="A601" s="9" t="s">
        <v>1176</v>
      </c>
      <c r="B601" s="17" t="s">
        <v>1177</v>
      </c>
      <c r="C601" s="18">
        <f t="shared" si="42"/>
        <v>487889.83</v>
      </c>
      <c r="D601" s="18"/>
      <c r="E601" s="18">
        <v>487889.83</v>
      </c>
      <c r="F601" s="18"/>
      <c r="G601" s="18"/>
      <c r="H601" s="18"/>
      <c r="I601" s="18"/>
      <c r="J601" s="18"/>
      <c r="K601" s="18"/>
      <c r="L601" s="10"/>
      <c r="M601" s="18"/>
      <c r="N601" s="10"/>
      <c r="O601" s="18"/>
      <c r="P601" s="18"/>
      <c r="Q601" s="18"/>
      <c r="R601" s="18"/>
      <c r="S601" s="18"/>
    </row>
    <row r="602" spans="1:19" x14ac:dyDescent="0.25">
      <c r="A602" s="9" t="s">
        <v>1178</v>
      </c>
      <c r="B602" s="17" t="s">
        <v>1179</v>
      </c>
      <c r="C602" s="18">
        <f t="shared" si="42"/>
        <v>663965.98</v>
      </c>
      <c r="D602" s="18"/>
      <c r="E602" s="18">
        <v>663965.98</v>
      </c>
      <c r="F602" s="18"/>
      <c r="G602" s="18"/>
      <c r="H602" s="18"/>
      <c r="I602" s="18"/>
      <c r="J602" s="18"/>
      <c r="K602" s="18"/>
      <c r="L602" s="10"/>
      <c r="M602" s="18"/>
      <c r="N602" s="10"/>
      <c r="O602" s="18"/>
      <c r="P602" s="18"/>
      <c r="Q602" s="18"/>
      <c r="R602" s="18"/>
      <c r="S602" s="18"/>
    </row>
    <row r="603" spans="1:19" x14ac:dyDescent="0.25">
      <c r="A603" s="9" t="s">
        <v>1180</v>
      </c>
      <c r="B603" s="17" t="s">
        <v>1181</v>
      </c>
      <c r="C603" s="18">
        <f t="shared" si="42"/>
        <v>673261.56</v>
      </c>
      <c r="D603" s="18"/>
      <c r="E603" s="18">
        <v>673261.56</v>
      </c>
      <c r="F603" s="18"/>
      <c r="G603" s="18"/>
      <c r="H603" s="18"/>
      <c r="I603" s="18"/>
      <c r="J603" s="18"/>
      <c r="K603" s="18"/>
      <c r="L603" s="10"/>
      <c r="M603" s="18"/>
      <c r="N603" s="10"/>
      <c r="O603" s="18"/>
      <c r="P603" s="18"/>
      <c r="Q603" s="18"/>
      <c r="R603" s="18"/>
      <c r="S603" s="18"/>
    </row>
    <row r="604" spans="1:19" x14ac:dyDescent="0.25">
      <c r="A604" s="9" t="s">
        <v>1182</v>
      </c>
      <c r="B604" s="17" t="s">
        <v>1183</v>
      </c>
      <c r="C604" s="18">
        <f t="shared" si="42"/>
        <v>368348.2</v>
      </c>
      <c r="D604" s="18"/>
      <c r="E604" s="18">
        <v>368348.2</v>
      </c>
      <c r="F604" s="18"/>
      <c r="G604" s="18"/>
      <c r="H604" s="18"/>
      <c r="I604" s="18"/>
      <c r="J604" s="18"/>
      <c r="K604" s="18"/>
      <c r="L604" s="10"/>
      <c r="M604" s="18"/>
      <c r="N604" s="10"/>
      <c r="O604" s="18"/>
      <c r="P604" s="18"/>
      <c r="Q604" s="18"/>
      <c r="R604" s="18"/>
      <c r="S604" s="18"/>
    </row>
    <row r="605" spans="1:19" x14ac:dyDescent="0.25">
      <c r="A605" s="9" t="s">
        <v>1184</v>
      </c>
      <c r="B605" s="17" t="s">
        <v>1185</v>
      </c>
      <c r="C605" s="18">
        <f t="shared" si="42"/>
        <v>373874.89</v>
      </c>
      <c r="D605" s="18"/>
      <c r="E605" s="18">
        <v>373874.89</v>
      </c>
      <c r="F605" s="18"/>
      <c r="G605" s="18"/>
      <c r="H605" s="18"/>
      <c r="I605" s="18"/>
      <c r="J605" s="18"/>
      <c r="K605" s="18"/>
      <c r="L605" s="10"/>
      <c r="M605" s="18"/>
      <c r="N605" s="10"/>
      <c r="O605" s="18"/>
      <c r="P605" s="18"/>
      <c r="Q605" s="18"/>
      <c r="R605" s="18"/>
      <c r="S605" s="18"/>
    </row>
    <row r="606" spans="1:19" x14ac:dyDescent="0.25">
      <c r="A606" s="9" t="s">
        <v>1186</v>
      </c>
      <c r="B606" s="17" t="s">
        <v>1187</v>
      </c>
      <c r="C606" s="18">
        <f t="shared" si="42"/>
        <v>299597.98</v>
      </c>
      <c r="D606" s="18"/>
      <c r="E606" s="18">
        <v>299597.98</v>
      </c>
      <c r="F606" s="18"/>
      <c r="G606" s="18"/>
      <c r="H606" s="18"/>
      <c r="I606" s="18"/>
      <c r="J606" s="18"/>
      <c r="K606" s="18"/>
      <c r="L606" s="10"/>
      <c r="M606" s="18"/>
      <c r="N606" s="10"/>
      <c r="O606" s="18"/>
      <c r="P606" s="18"/>
      <c r="Q606" s="18"/>
      <c r="R606" s="18"/>
      <c r="S606" s="18"/>
    </row>
    <row r="607" spans="1:19" x14ac:dyDescent="0.25">
      <c r="A607" s="9" t="s">
        <v>1188</v>
      </c>
      <c r="B607" s="17" t="s">
        <v>1189</v>
      </c>
      <c r="C607" s="18">
        <f t="shared" si="42"/>
        <v>424761.19</v>
      </c>
      <c r="D607" s="18"/>
      <c r="E607" s="18">
        <v>424761.19</v>
      </c>
      <c r="F607" s="18"/>
      <c r="G607" s="18"/>
      <c r="H607" s="18"/>
      <c r="I607" s="18"/>
      <c r="J607" s="18"/>
      <c r="K607" s="18"/>
      <c r="L607" s="10"/>
      <c r="M607" s="18"/>
      <c r="N607" s="10"/>
      <c r="O607" s="18"/>
      <c r="P607" s="18"/>
      <c r="Q607" s="18"/>
      <c r="R607" s="18"/>
      <c r="S607" s="18"/>
    </row>
    <row r="608" spans="1:19" x14ac:dyDescent="0.25">
      <c r="A608" s="9" t="s">
        <v>1190</v>
      </c>
      <c r="B608" s="17" t="s">
        <v>1191</v>
      </c>
      <c r="C608" s="18">
        <f>ROUNDUP(SUM(D608+E608+F608+G608+H608+I608+J608+K608+M608+O608+P608+Q608+R608+S608),2)</f>
        <v>4329658.5599999996</v>
      </c>
      <c r="D608" s="18">
        <v>11486.34</v>
      </c>
      <c r="E608" s="18"/>
      <c r="F608" s="18"/>
      <c r="G608" s="18"/>
      <c r="H608" s="18"/>
      <c r="I608" s="18"/>
      <c r="J608" s="18"/>
      <c r="K608" s="18"/>
      <c r="L608" s="10"/>
      <c r="M608" s="18"/>
      <c r="N608" s="10" t="s">
        <v>355</v>
      </c>
      <c r="O608" s="18">
        <v>4318172.22</v>
      </c>
      <c r="P608" s="18"/>
      <c r="Q608" s="18"/>
      <c r="R608" s="18"/>
      <c r="S608" s="18"/>
    </row>
    <row r="609" spans="1:19" x14ac:dyDescent="0.25">
      <c r="A609" s="9" t="s">
        <v>1192</v>
      </c>
      <c r="B609" s="17" t="s">
        <v>1193</v>
      </c>
      <c r="C609" s="18">
        <f t="shared" si="42"/>
        <v>425381.41</v>
      </c>
      <c r="D609" s="18"/>
      <c r="E609" s="18">
        <v>425381.41</v>
      </c>
      <c r="F609" s="18"/>
      <c r="G609" s="18"/>
      <c r="H609" s="18"/>
      <c r="I609" s="18"/>
      <c r="J609" s="18"/>
      <c r="K609" s="18"/>
      <c r="L609" s="10"/>
      <c r="M609" s="18"/>
      <c r="N609" s="10"/>
      <c r="O609" s="18"/>
      <c r="P609" s="18"/>
      <c r="Q609" s="18"/>
      <c r="R609" s="18"/>
      <c r="S609" s="18"/>
    </row>
    <row r="610" spans="1:19" x14ac:dyDescent="0.25">
      <c r="A610" s="9" t="s">
        <v>1194</v>
      </c>
      <c r="B610" s="17" t="s">
        <v>1195</v>
      </c>
      <c r="C610" s="18">
        <f t="shared" si="42"/>
        <v>32358448.129999999</v>
      </c>
      <c r="D610" s="18">
        <v>154899.07</v>
      </c>
      <c r="E610" s="18"/>
      <c r="F610" s="18">
        <v>2845814.63</v>
      </c>
      <c r="G610" s="18">
        <v>4108665.55</v>
      </c>
      <c r="H610" s="18">
        <v>1150140.42</v>
      </c>
      <c r="I610" s="18">
        <v>424705.1</v>
      </c>
      <c r="J610" s="18">
        <v>1221329.28</v>
      </c>
      <c r="K610" s="18"/>
      <c r="L610" s="10"/>
      <c r="M610" s="18"/>
      <c r="N610" s="10" t="s">
        <v>355</v>
      </c>
      <c r="O610" s="18">
        <v>12382991.560000001</v>
      </c>
      <c r="P610" s="18"/>
      <c r="Q610" s="18">
        <v>10069902.52</v>
      </c>
      <c r="R610" s="18"/>
      <c r="S610" s="18"/>
    </row>
    <row r="611" spans="1:19" x14ac:dyDescent="0.25">
      <c r="A611" s="9" t="s">
        <v>1196</v>
      </c>
      <c r="B611" s="17" t="s">
        <v>1197</v>
      </c>
      <c r="C611" s="18">
        <f t="shared" si="42"/>
        <v>368119.58</v>
      </c>
      <c r="D611" s="18"/>
      <c r="E611" s="18">
        <v>368119.58</v>
      </c>
      <c r="F611" s="18"/>
      <c r="G611" s="18"/>
      <c r="H611" s="18"/>
      <c r="I611" s="18"/>
      <c r="J611" s="18"/>
      <c r="K611" s="18"/>
      <c r="L611" s="10"/>
      <c r="M611" s="18"/>
      <c r="N611" s="10"/>
      <c r="O611" s="18"/>
      <c r="P611" s="18"/>
      <c r="Q611" s="18"/>
      <c r="R611" s="18"/>
      <c r="S611" s="18"/>
    </row>
    <row r="612" spans="1:19" x14ac:dyDescent="0.25">
      <c r="A612" s="9" t="s">
        <v>1198</v>
      </c>
      <c r="B612" s="17" t="s">
        <v>1199</v>
      </c>
      <c r="C612" s="18">
        <f>ROUNDUP(SUM(D612+E612+F612+G612+H612+I612+J612+K612+M612+O612+P612+Q612+R612+S612),2)</f>
        <v>5540102.4199999999</v>
      </c>
      <c r="D612" s="18">
        <v>66763.8</v>
      </c>
      <c r="E612" s="18"/>
      <c r="F612" s="18"/>
      <c r="G612" s="18">
        <v>5473338.6200000001</v>
      </c>
      <c r="H612" s="18"/>
      <c r="I612" s="18"/>
      <c r="J612" s="18"/>
      <c r="K612" s="18"/>
      <c r="L612" s="10"/>
      <c r="M612" s="18"/>
      <c r="N612" s="10"/>
      <c r="O612" s="18"/>
      <c r="P612" s="18"/>
      <c r="Q612" s="18"/>
      <c r="R612" s="18"/>
      <c r="S612" s="18"/>
    </row>
    <row r="613" spans="1:19" x14ac:dyDescent="0.25">
      <c r="A613" s="9" t="s">
        <v>1200</v>
      </c>
      <c r="B613" s="17" t="s">
        <v>1201</v>
      </c>
      <c r="C613" s="18">
        <f t="shared" si="42"/>
        <v>60398653.990000002</v>
      </c>
      <c r="D613" s="18">
        <v>287866.71999999997</v>
      </c>
      <c r="E613" s="18">
        <v>263235.78000000003</v>
      </c>
      <c r="F613" s="18"/>
      <c r="G613" s="18">
        <v>19352508.300000001</v>
      </c>
      <c r="H613" s="18"/>
      <c r="I613" s="18"/>
      <c r="J613" s="18"/>
      <c r="K613" s="18"/>
      <c r="L613" s="10"/>
      <c r="M613" s="18"/>
      <c r="N613" s="10"/>
      <c r="O613" s="18"/>
      <c r="P613" s="18"/>
      <c r="Q613" s="18">
        <v>40495043.189999998</v>
      </c>
      <c r="R613" s="18"/>
      <c r="S613" s="18"/>
    </row>
    <row r="614" spans="1:19" x14ac:dyDescent="0.25">
      <c r="A614" s="9" t="s">
        <v>1202</v>
      </c>
      <c r="B614" s="17" t="s">
        <v>1203</v>
      </c>
      <c r="C614" s="18">
        <f t="shared" si="42"/>
        <v>12306496.720000001</v>
      </c>
      <c r="D614" s="18">
        <v>58246.47</v>
      </c>
      <c r="E614" s="18">
        <v>138796.73000000001</v>
      </c>
      <c r="F614" s="18"/>
      <c r="G614" s="18"/>
      <c r="H614" s="18"/>
      <c r="I614" s="18"/>
      <c r="J614" s="18"/>
      <c r="K614" s="18"/>
      <c r="L614" s="10"/>
      <c r="M614" s="18"/>
      <c r="N614" s="10" t="s">
        <v>355</v>
      </c>
      <c r="O614" s="18">
        <v>12109453.52</v>
      </c>
      <c r="P614" s="18"/>
      <c r="Q614" s="18"/>
      <c r="R614" s="18"/>
      <c r="S614" s="18"/>
    </row>
    <row r="615" spans="1:19" x14ac:dyDescent="0.25">
      <c r="A615" s="9" t="s">
        <v>1204</v>
      </c>
      <c r="B615" s="17" t="s">
        <v>1205</v>
      </c>
      <c r="C615" s="18">
        <f t="shared" si="42"/>
        <v>8916144.7100000009</v>
      </c>
      <c r="D615" s="18">
        <v>19306.14</v>
      </c>
      <c r="E615" s="18"/>
      <c r="F615" s="18"/>
      <c r="G615" s="18"/>
      <c r="H615" s="18"/>
      <c r="I615" s="18"/>
      <c r="J615" s="18"/>
      <c r="K615" s="18"/>
      <c r="L615" s="10"/>
      <c r="M615" s="18"/>
      <c r="N615" s="10" t="s">
        <v>509</v>
      </c>
      <c r="O615" s="18">
        <v>8896838.5700000003</v>
      </c>
      <c r="P615" s="18"/>
      <c r="Q615" s="18"/>
      <c r="R615" s="18"/>
      <c r="S615" s="18"/>
    </row>
    <row r="616" spans="1:19" x14ac:dyDescent="0.25">
      <c r="A616" s="9" t="s">
        <v>1206</v>
      </c>
      <c r="B616" s="17" t="s">
        <v>1207</v>
      </c>
      <c r="C616" s="18">
        <f t="shared" si="42"/>
        <v>207824.33</v>
      </c>
      <c r="D616" s="18"/>
      <c r="E616" s="18">
        <v>207824.33</v>
      </c>
      <c r="F616" s="18"/>
      <c r="G616" s="18"/>
      <c r="H616" s="18"/>
      <c r="I616" s="18"/>
      <c r="J616" s="18"/>
      <c r="K616" s="18"/>
      <c r="L616" s="10"/>
      <c r="M616" s="18"/>
      <c r="N616" s="10"/>
      <c r="O616" s="18"/>
      <c r="P616" s="18"/>
      <c r="Q616" s="18"/>
      <c r="R616" s="18"/>
      <c r="S616" s="18"/>
    </row>
    <row r="617" spans="1:19" x14ac:dyDescent="0.25">
      <c r="A617" s="9" t="s">
        <v>1208</v>
      </c>
      <c r="B617" s="17" t="s">
        <v>1209</v>
      </c>
      <c r="C617" s="18">
        <f t="shared" si="42"/>
        <v>391500.73</v>
      </c>
      <c r="D617" s="18"/>
      <c r="E617" s="18">
        <v>391500.73</v>
      </c>
      <c r="F617" s="18"/>
      <c r="G617" s="18"/>
      <c r="H617" s="18"/>
      <c r="I617" s="18"/>
      <c r="J617" s="18"/>
      <c r="K617" s="18"/>
      <c r="L617" s="10"/>
      <c r="M617" s="18"/>
      <c r="N617" s="10"/>
      <c r="O617" s="18"/>
      <c r="P617" s="18"/>
      <c r="Q617" s="18"/>
      <c r="R617" s="18"/>
      <c r="S617" s="18"/>
    </row>
    <row r="618" spans="1:19" x14ac:dyDescent="0.25">
      <c r="A618" s="9" t="s">
        <v>1210</v>
      </c>
      <c r="B618" s="17" t="s">
        <v>1211</v>
      </c>
      <c r="C618" s="18">
        <f>ROUNDUP(SUM(D618+E618+F618+G618+H618+I618+J618+K618+M618+O618+P618+Q618+R618+S618),2)</f>
        <v>6925433.7699999996</v>
      </c>
      <c r="D618" s="18">
        <v>138367.93</v>
      </c>
      <c r="E618" s="18">
        <v>287867.76</v>
      </c>
      <c r="F618" s="18"/>
      <c r="G618" s="18"/>
      <c r="H618" s="18"/>
      <c r="I618" s="18"/>
      <c r="J618" s="18"/>
      <c r="K618" s="18"/>
      <c r="L618" s="10"/>
      <c r="M618" s="18"/>
      <c r="N618" s="10"/>
      <c r="O618" s="18"/>
      <c r="P618" s="18"/>
      <c r="Q618" s="18">
        <v>6499198.0800000001</v>
      </c>
      <c r="R618" s="18"/>
      <c r="S618" s="18"/>
    </row>
    <row r="619" spans="1:19" x14ac:dyDescent="0.25">
      <c r="A619" s="9" t="s">
        <v>1212</v>
      </c>
      <c r="B619" s="17" t="s">
        <v>1213</v>
      </c>
      <c r="C619" s="18">
        <f t="shared" si="42"/>
        <v>8294510.5800000001</v>
      </c>
      <c r="D619" s="18">
        <v>166522.41</v>
      </c>
      <c r="E619" s="18">
        <v>306362.48</v>
      </c>
      <c r="F619" s="18"/>
      <c r="G619" s="18"/>
      <c r="H619" s="18"/>
      <c r="I619" s="18"/>
      <c r="J619" s="18"/>
      <c r="K619" s="18"/>
      <c r="L619" s="10"/>
      <c r="M619" s="18"/>
      <c r="N619" s="10"/>
      <c r="O619" s="18"/>
      <c r="P619" s="18"/>
      <c r="Q619" s="18">
        <v>7821625.6900000004</v>
      </c>
      <c r="R619" s="18"/>
      <c r="S619" s="18"/>
    </row>
    <row r="620" spans="1:19" x14ac:dyDescent="0.25">
      <c r="A620" s="9" t="s">
        <v>1214</v>
      </c>
      <c r="B620" s="17" t="s">
        <v>1215</v>
      </c>
      <c r="C620" s="18">
        <f t="shared" si="42"/>
        <v>25870354.300000001</v>
      </c>
      <c r="D620" s="18">
        <v>527110.36</v>
      </c>
      <c r="E620" s="18">
        <v>206579.56</v>
      </c>
      <c r="F620" s="18"/>
      <c r="G620" s="18"/>
      <c r="H620" s="18"/>
      <c r="I620" s="18"/>
      <c r="J620" s="18"/>
      <c r="K620" s="18"/>
      <c r="L620" s="10">
        <v>7</v>
      </c>
      <c r="M620" s="18">
        <v>25136664.379999999</v>
      </c>
      <c r="N620" s="10"/>
      <c r="O620" s="18"/>
      <c r="P620" s="18"/>
      <c r="Q620" s="18"/>
      <c r="R620" s="18"/>
      <c r="S620" s="18"/>
    </row>
    <row r="621" spans="1:19" x14ac:dyDescent="0.25">
      <c r="A621" s="9" t="s">
        <v>1216</v>
      </c>
      <c r="B621" s="17" t="s">
        <v>1217</v>
      </c>
      <c r="C621" s="18">
        <f t="shared" si="42"/>
        <v>533713.55000000005</v>
      </c>
      <c r="D621" s="18"/>
      <c r="E621" s="18">
        <v>533713.55000000005</v>
      </c>
      <c r="F621" s="18"/>
      <c r="G621" s="18"/>
      <c r="H621" s="18"/>
      <c r="I621" s="18"/>
      <c r="J621" s="18"/>
      <c r="K621" s="18"/>
      <c r="L621" s="10"/>
      <c r="M621" s="18"/>
      <c r="N621" s="10"/>
      <c r="O621" s="18"/>
      <c r="P621" s="18"/>
      <c r="Q621" s="18"/>
      <c r="R621" s="18"/>
      <c r="S621" s="18"/>
    </row>
    <row r="622" spans="1:19" x14ac:dyDescent="0.25">
      <c r="A622" s="9" t="s">
        <v>1218</v>
      </c>
      <c r="B622" s="17" t="s">
        <v>1219</v>
      </c>
      <c r="C622" s="18">
        <f t="shared" si="42"/>
        <v>824843.27</v>
      </c>
      <c r="D622" s="18"/>
      <c r="E622" s="18">
        <v>824843.27</v>
      </c>
      <c r="F622" s="18"/>
      <c r="G622" s="18"/>
      <c r="H622" s="18"/>
      <c r="I622" s="18"/>
      <c r="J622" s="18"/>
      <c r="K622" s="18"/>
      <c r="L622" s="10"/>
      <c r="M622" s="18"/>
      <c r="N622" s="10"/>
      <c r="O622" s="18"/>
      <c r="P622" s="18"/>
      <c r="Q622" s="18"/>
      <c r="R622" s="18"/>
      <c r="S622" s="18"/>
    </row>
    <row r="623" spans="1:19" x14ac:dyDescent="0.25">
      <c r="A623" s="9" t="s">
        <v>1220</v>
      </c>
      <c r="B623" s="17" t="s">
        <v>1221</v>
      </c>
      <c r="C623" s="18">
        <f t="shared" si="42"/>
        <v>444401.52</v>
      </c>
      <c r="D623" s="18"/>
      <c r="E623" s="18">
        <v>444401.52</v>
      </c>
      <c r="F623" s="18"/>
      <c r="G623" s="18"/>
      <c r="H623" s="18"/>
      <c r="I623" s="18"/>
      <c r="J623" s="18"/>
      <c r="K623" s="18"/>
      <c r="L623" s="10"/>
      <c r="M623" s="18"/>
      <c r="N623" s="10"/>
      <c r="O623" s="18"/>
      <c r="P623" s="18"/>
      <c r="Q623" s="18"/>
      <c r="R623" s="18"/>
      <c r="S623" s="18"/>
    </row>
    <row r="624" spans="1:19" x14ac:dyDescent="0.25">
      <c r="A624" s="9" t="s">
        <v>1222</v>
      </c>
      <c r="B624" s="17" t="s">
        <v>1223</v>
      </c>
      <c r="C624" s="18">
        <f t="shared" si="42"/>
        <v>6894825.7400000002</v>
      </c>
      <c r="D624" s="18">
        <v>33005.35</v>
      </c>
      <c r="E624" s="18"/>
      <c r="F624" s="18">
        <v>2137966.59</v>
      </c>
      <c r="G624" s="18">
        <v>2867790.32</v>
      </c>
      <c r="H624" s="18">
        <v>936184.34</v>
      </c>
      <c r="I624" s="18">
        <v>373226.27</v>
      </c>
      <c r="J624" s="18">
        <v>546652.87</v>
      </c>
      <c r="K624" s="18"/>
      <c r="L624" s="10"/>
      <c r="M624" s="18"/>
      <c r="N624" s="10"/>
      <c r="O624" s="18"/>
      <c r="P624" s="18"/>
      <c r="Q624" s="18"/>
      <c r="R624" s="18"/>
      <c r="S624" s="18"/>
    </row>
    <row r="625" spans="1:19" x14ac:dyDescent="0.25">
      <c r="A625" s="9" t="s">
        <v>1224</v>
      </c>
      <c r="B625" s="17" t="s">
        <v>1225</v>
      </c>
      <c r="C625" s="18">
        <f>ROUNDUP(SUM(D625+E625+F625+G625+H625+I625+J625+K625+M625+O625+P625+Q625+R625+S625),2)</f>
        <v>10835053.98</v>
      </c>
      <c r="D625" s="18">
        <v>130576.52</v>
      </c>
      <c r="E625" s="18"/>
      <c r="F625" s="18">
        <v>2425263.2200000002</v>
      </c>
      <c r="G625" s="18">
        <v>5620927.5499999998</v>
      </c>
      <c r="H625" s="18">
        <v>1475022.63</v>
      </c>
      <c r="I625" s="18">
        <v>566367.02</v>
      </c>
      <c r="J625" s="18">
        <v>616897.04</v>
      </c>
      <c r="K625" s="18"/>
      <c r="L625" s="10"/>
      <c r="M625" s="18"/>
      <c r="N625" s="10"/>
      <c r="O625" s="18"/>
      <c r="P625" s="18"/>
      <c r="Q625" s="18"/>
      <c r="R625" s="18"/>
      <c r="S625" s="18"/>
    </row>
    <row r="626" spans="1:19" x14ac:dyDescent="0.25">
      <c r="A626" s="9" t="s">
        <v>1226</v>
      </c>
      <c r="B626" s="17" t="s">
        <v>1227</v>
      </c>
      <c r="C626" s="18">
        <f>ROUNDUP(SUM(D626+E626+F626+G626+H626+I626+J626+K626+M626+O626+P626+Q626+R626+S626),2)</f>
        <v>15815240.24</v>
      </c>
      <c r="D626" s="18">
        <v>246607.15</v>
      </c>
      <c r="E626" s="18"/>
      <c r="F626" s="18"/>
      <c r="G626" s="18"/>
      <c r="H626" s="18"/>
      <c r="I626" s="18"/>
      <c r="J626" s="18"/>
      <c r="K626" s="18"/>
      <c r="L626" s="10"/>
      <c r="M626" s="18"/>
      <c r="N626" s="10"/>
      <c r="O626" s="18"/>
      <c r="P626" s="18"/>
      <c r="Q626" s="18">
        <v>15568633.09</v>
      </c>
      <c r="R626" s="18"/>
      <c r="S626" s="18"/>
    </row>
    <row r="627" spans="1:19" x14ac:dyDescent="0.25">
      <c r="A627" s="9" t="s">
        <v>1228</v>
      </c>
      <c r="B627" s="17" t="s">
        <v>1229</v>
      </c>
      <c r="C627" s="18">
        <f>ROUNDUP(SUM(D627+E627+F627+G627+H627+I627+J627+K627+M627+O627+P627+Q627+R627+S627),2)</f>
        <v>890210.88</v>
      </c>
      <c r="D627" s="18">
        <v>1927.57</v>
      </c>
      <c r="E627" s="18"/>
      <c r="F627" s="18"/>
      <c r="G627" s="18">
        <v>888283.31</v>
      </c>
      <c r="H627" s="18"/>
      <c r="I627" s="18"/>
      <c r="J627" s="18"/>
      <c r="K627" s="18"/>
      <c r="L627" s="10"/>
      <c r="M627" s="18"/>
      <c r="N627" s="10"/>
      <c r="O627" s="18"/>
      <c r="P627" s="18"/>
      <c r="Q627" s="18"/>
      <c r="R627" s="18"/>
      <c r="S627" s="18"/>
    </row>
    <row r="628" spans="1:19" x14ac:dyDescent="0.25">
      <c r="A628" s="9" t="s">
        <v>1230</v>
      </c>
      <c r="B628" s="17" t="s">
        <v>1231</v>
      </c>
      <c r="C628" s="18">
        <f t="shared" si="42"/>
        <v>6877764.3200000003</v>
      </c>
      <c r="D628" s="18">
        <v>82883.960000000006</v>
      </c>
      <c r="E628" s="18"/>
      <c r="F628" s="18"/>
      <c r="G628" s="18">
        <v>6794880.3600000003</v>
      </c>
      <c r="H628" s="18"/>
      <c r="I628" s="18"/>
      <c r="J628" s="18"/>
      <c r="K628" s="18"/>
      <c r="L628" s="10"/>
      <c r="M628" s="18"/>
      <c r="N628" s="10"/>
      <c r="O628" s="18"/>
      <c r="P628" s="18"/>
      <c r="Q628" s="18"/>
      <c r="R628" s="18"/>
      <c r="S628" s="18"/>
    </row>
    <row r="629" spans="1:19" s="2" customFormat="1" x14ac:dyDescent="0.25">
      <c r="A629" s="9" t="s">
        <v>1232</v>
      </c>
      <c r="B629" s="17" t="s">
        <v>1233</v>
      </c>
      <c r="C629" s="18">
        <f>ROUND(SUM(D629+E629+F629+G629+H629+I629+J629+K629+M629+O629+P629+Q629+R629+S629),2)</f>
        <v>3033980.97</v>
      </c>
      <c r="D629" s="39">
        <v>63246.93</v>
      </c>
      <c r="E629" s="40"/>
      <c r="F629" s="41"/>
      <c r="G629" s="18">
        <v>2970734.04</v>
      </c>
      <c r="H629" s="40"/>
      <c r="I629" s="40"/>
      <c r="J629" s="40"/>
      <c r="K629" s="40"/>
      <c r="L629" s="28"/>
      <c r="M629" s="40"/>
      <c r="N629" s="40"/>
      <c r="O629" s="41"/>
      <c r="P629" s="40"/>
      <c r="Q629" s="41"/>
      <c r="R629" s="40"/>
      <c r="S629" s="40"/>
    </row>
    <row r="630" spans="1:19" x14ac:dyDescent="0.25">
      <c r="A630" s="9" t="s">
        <v>1234</v>
      </c>
      <c r="B630" s="17" t="s">
        <v>1235</v>
      </c>
      <c r="C630" s="18">
        <f t="shared" ref="C630:C643" si="43">ROUNDUP(SUM(D630+E630+F630+G630+H630+I630+J630+K630+M630+O630+P630+Q630+R630+S630),2)</f>
        <v>425105.71</v>
      </c>
      <c r="D630" s="18"/>
      <c r="E630" s="18">
        <v>425105.71</v>
      </c>
      <c r="F630" s="18"/>
      <c r="G630" s="18"/>
      <c r="H630" s="18"/>
      <c r="I630" s="18"/>
      <c r="J630" s="18"/>
      <c r="K630" s="18"/>
      <c r="L630" s="10"/>
      <c r="M630" s="18"/>
      <c r="N630" s="10"/>
      <c r="O630" s="18"/>
      <c r="P630" s="18"/>
      <c r="Q630" s="18"/>
      <c r="R630" s="18"/>
      <c r="S630" s="18"/>
    </row>
    <row r="631" spans="1:19" x14ac:dyDescent="0.25">
      <c r="A631" s="9" t="s">
        <v>1236</v>
      </c>
      <c r="B631" s="17" t="s">
        <v>1237</v>
      </c>
      <c r="C631" s="18">
        <f t="shared" si="43"/>
        <v>493752.41</v>
      </c>
      <c r="D631" s="18"/>
      <c r="E631" s="18">
        <v>493752.41</v>
      </c>
      <c r="F631" s="18"/>
      <c r="G631" s="18"/>
      <c r="H631" s="18"/>
      <c r="I631" s="18"/>
      <c r="J631" s="18"/>
      <c r="K631" s="18"/>
      <c r="L631" s="10"/>
      <c r="M631" s="18"/>
      <c r="N631" s="10"/>
      <c r="O631" s="18"/>
      <c r="P631" s="18"/>
      <c r="Q631" s="18"/>
      <c r="R631" s="18"/>
      <c r="S631" s="18"/>
    </row>
    <row r="632" spans="1:19" x14ac:dyDescent="0.25">
      <c r="A632" s="9" t="s">
        <v>1238</v>
      </c>
      <c r="B632" s="17" t="s">
        <v>1239</v>
      </c>
      <c r="C632" s="18">
        <f t="shared" si="43"/>
        <v>17763197.199999999</v>
      </c>
      <c r="D632" s="18">
        <v>85031.97</v>
      </c>
      <c r="E632" s="18"/>
      <c r="F632" s="18"/>
      <c r="G632" s="18"/>
      <c r="H632" s="18"/>
      <c r="I632" s="18"/>
      <c r="J632" s="18"/>
      <c r="K632" s="18"/>
      <c r="L632" s="10"/>
      <c r="M632" s="18"/>
      <c r="N632" s="10"/>
      <c r="O632" s="18"/>
      <c r="P632" s="18"/>
      <c r="Q632" s="18"/>
      <c r="R632" s="18">
        <v>17678165.23</v>
      </c>
      <c r="S632" s="18"/>
    </row>
    <row r="633" spans="1:19" x14ac:dyDescent="0.25">
      <c r="A633" s="9" t="s">
        <v>1240</v>
      </c>
      <c r="B633" s="17" t="s">
        <v>1241</v>
      </c>
      <c r="C633" s="18">
        <f t="shared" si="43"/>
        <v>487077.12</v>
      </c>
      <c r="D633" s="18"/>
      <c r="E633" s="18">
        <v>487077.12</v>
      </c>
      <c r="F633" s="18"/>
      <c r="G633" s="18"/>
      <c r="H633" s="18"/>
      <c r="I633" s="18"/>
      <c r="J633" s="18"/>
      <c r="K633" s="18"/>
      <c r="L633" s="10"/>
      <c r="M633" s="18"/>
      <c r="N633" s="10"/>
      <c r="O633" s="18"/>
      <c r="P633" s="18"/>
      <c r="Q633" s="18"/>
      <c r="R633" s="18"/>
      <c r="S633" s="18"/>
    </row>
    <row r="634" spans="1:19" x14ac:dyDescent="0.25">
      <c r="A634" s="9" t="s">
        <v>1242</v>
      </c>
      <c r="B634" s="17" t="s">
        <v>1243</v>
      </c>
      <c r="C634" s="18">
        <f t="shared" si="43"/>
        <v>6915435.5899999999</v>
      </c>
      <c r="D634" s="18">
        <v>21371.599999999999</v>
      </c>
      <c r="E634" s="26"/>
      <c r="F634" s="26"/>
      <c r="G634" s="29"/>
      <c r="H634" s="26"/>
      <c r="I634" s="26"/>
      <c r="J634" s="26"/>
      <c r="K634" s="26"/>
      <c r="L634" s="32"/>
      <c r="M634" s="26"/>
      <c r="N634" s="26"/>
      <c r="O634" s="26"/>
      <c r="P634" s="26"/>
      <c r="Q634" s="18">
        <v>6894063.9900000002</v>
      </c>
      <c r="R634" s="26"/>
      <c r="S634" s="26"/>
    </row>
    <row r="635" spans="1:19" x14ac:dyDescent="0.25">
      <c r="A635" s="9" t="s">
        <v>1244</v>
      </c>
      <c r="B635" s="17" t="s">
        <v>1245</v>
      </c>
      <c r="C635" s="18">
        <f t="shared" si="43"/>
        <v>599473.37</v>
      </c>
      <c r="D635" s="18"/>
      <c r="E635" s="18">
        <v>599473.37</v>
      </c>
      <c r="F635" s="18"/>
      <c r="G635" s="18"/>
      <c r="H635" s="18"/>
      <c r="I635" s="18"/>
      <c r="J635" s="18"/>
      <c r="K635" s="18"/>
      <c r="L635" s="10"/>
      <c r="M635" s="18"/>
      <c r="N635" s="10"/>
      <c r="O635" s="18"/>
      <c r="P635" s="18"/>
      <c r="Q635" s="18"/>
      <c r="R635" s="18"/>
      <c r="S635" s="18"/>
    </row>
    <row r="636" spans="1:19" x14ac:dyDescent="0.25">
      <c r="A636" s="9" t="s">
        <v>1246</v>
      </c>
      <c r="B636" s="17" t="s">
        <v>1247</v>
      </c>
      <c r="C636" s="18">
        <f t="shared" si="43"/>
        <v>209731.11</v>
      </c>
      <c r="D636" s="18"/>
      <c r="E636" s="18">
        <v>209731.11</v>
      </c>
      <c r="F636" s="18"/>
      <c r="G636" s="18"/>
      <c r="H636" s="18"/>
      <c r="I636" s="18"/>
      <c r="J636" s="18"/>
      <c r="K636" s="18"/>
      <c r="L636" s="10"/>
      <c r="M636" s="18"/>
      <c r="N636" s="10"/>
      <c r="O636" s="18"/>
      <c r="P636" s="18"/>
      <c r="Q636" s="18"/>
      <c r="R636" s="18"/>
      <c r="S636" s="18"/>
    </row>
    <row r="637" spans="1:19" x14ac:dyDescent="0.25">
      <c r="A637" s="9" t="s">
        <v>1248</v>
      </c>
      <c r="B637" s="17" t="s">
        <v>1249</v>
      </c>
      <c r="C637" s="18">
        <f t="shared" si="43"/>
        <v>157292.70000000001</v>
      </c>
      <c r="D637" s="18"/>
      <c r="E637" s="18">
        <v>157292.70000000001</v>
      </c>
      <c r="F637" s="18"/>
      <c r="G637" s="18"/>
      <c r="H637" s="18"/>
      <c r="I637" s="18"/>
      <c r="J637" s="18"/>
      <c r="K637" s="18"/>
      <c r="L637" s="10"/>
      <c r="M637" s="18"/>
      <c r="N637" s="10"/>
      <c r="O637" s="18"/>
      <c r="P637" s="18"/>
      <c r="Q637" s="18"/>
      <c r="R637" s="18"/>
      <c r="S637" s="18"/>
    </row>
    <row r="638" spans="1:19" x14ac:dyDescent="0.25">
      <c r="A638" s="9" t="s">
        <v>1250</v>
      </c>
      <c r="B638" s="17" t="s">
        <v>1251</v>
      </c>
      <c r="C638" s="18">
        <f t="shared" si="43"/>
        <v>326185.59999999998</v>
      </c>
      <c r="D638" s="18"/>
      <c r="E638" s="18">
        <v>326185.59999999998</v>
      </c>
      <c r="F638" s="18"/>
      <c r="G638" s="18"/>
      <c r="H638" s="18"/>
      <c r="I638" s="18"/>
      <c r="J638" s="18"/>
      <c r="K638" s="18"/>
      <c r="L638" s="10"/>
      <c r="M638" s="18"/>
      <c r="N638" s="10"/>
      <c r="O638" s="18"/>
      <c r="P638" s="18"/>
      <c r="Q638" s="18"/>
      <c r="R638" s="18"/>
      <c r="S638" s="18"/>
    </row>
    <row r="639" spans="1:19" x14ac:dyDescent="0.25">
      <c r="A639" s="9" t="s">
        <v>1252</v>
      </c>
      <c r="B639" s="17" t="s">
        <v>1253</v>
      </c>
      <c r="C639" s="18">
        <f t="shared" si="43"/>
        <v>228935.13</v>
      </c>
      <c r="D639" s="18"/>
      <c r="E639" s="18">
        <v>228935.13</v>
      </c>
      <c r="F639" s="18"/>
      <c r="G639" s="18"/>
      <c r="H639" s="18"/>
      <c r="I639" s="18"/>
      <c r="J639" s="18"/>
      <c r="K639" s="18"/>
      <c r="L639" s="10"/>
      <c r="M639" s="18"/>
      <c r="N639" s="10"/>
      <c r="O639" s="18"/>
      <c r="P639" s="18"/>
      <c r="Q639" s="18"/>
      <c r="R639" s="18"/>
      <c r="S639" s="18"/>
    </row>
    <row r="640" spans="1:19" x14ac:dyDescent="0.25">
      <c r="A640" s="9" t="s">
        <v>1254</v>
      </c>
      <c r="B640" s="17" t="s">
        <v>1255</v>
      </c>
      <c r="C640" s="18">
        <f t="shared" si="43"/>
        <v>18082661.850000001</v>
      </c>
      <c r="D640" s="18">
        <v>39154.42</v>
      </c>
      <c r="E640" s="18"/>
      <c r="F640" s="18">
        <v>3501748.93</v>
      </c>
      <c r="G640" s="18"/>
      <c r="H640" s="18"/>
      <c r="I640" s="18"/>
      <c r="J640" s="18"/>
      <c r="K640" s="18"/>
      <c r="L640" s="10"/>
      <c r="M640" s="18"/>
      <c r="N640" s="10"/>
      <c r="O640" s="18"/>
      <c r="P640" s="18"/>
      <c r="Q640" s="18">
        <v>14541758.5</v>
      </c>
      <c r="R640" s="18"/>
      <c r="S640" s="18"/>
    </row>
    <row r="641" spans="1:19" x14ac:dyDescent="0.25">
      <c r="A641" s="9" t="s">
        <v>1256</v>
      </c>
      <c r="B641" s="17" t="s">
        <v>1257</v>
      </c>
      <c r="C641" s="18">
        <f t="shared" si="43"/>
        <v>561531.51</v>
      </c>
      <c r="D641" s="18"/>
      <c r="E641" s="18">
        <v>561531.51</v>
      </c>
      <c r="F641" s="18"/>
      <c r="G641" s="18"/>
      <c r="H641" s="18"/>
      <c r="I641" s="18"/>
      <c r="J641" s="18"/>
      <c r="K641" s="18"/>
      <c r="L641" s="10"/>
      <c r="M641" s="18"/>
      <c r="N641" s="10"/>
      <c r="O641" s="18"/>
      <c r="P641" s="18"/>
      <c r="Q641" s="18"/>
      <c r="R641" s="18"/>
      <c r="S641" s="18"/>
    </row>
    <row r="642" spans="1:19" s="2" customFormat="1" x14ac:dyDescent="0.25">
      <c r="A642" s="9" t="s">
        <v>1258</v>
      </c>
      <c r="B642" s="17" t="s">
        <v>1259</v>
      </c>
      <c r="C642" s="18">
        <f t="shared" si="43"/>
        <v>487077.12</v>
      </c>
      <c r="D642" s="18"/>
      <c r="E642" s="30">
        <v>487077.12</v>
      </c>
      <c r="F642" s="30"/>
      <c r="G642" s="18"/>
      <c r="H642" s="30"/>
      <c r="I642" s="30"/>
      <c r="J642" s="30"/>
      <c r="K642" s="30"/>
      <c r="L642" s="31"/>
      <c r="M642" s="30"/>
      <c r="N642" s="31"/>
      <c r="O642" s="30"/>
      <c r="P642" s="30"/>
      <c r="Q642" s="18"/>
      <c r="R642" s="30"/>
      <c r="S642" s="30"/>
    </row>
    <row r="643" spans="1:19" x14ac:dyDescent="0.25">
      <c r="A643" s="9" t="s">
        <v>1260</v>
      </c>
      <c r="B643" s="17" t="s">
        <v>1261</v>
      </c>
      <c r="C643" s="18">
        <f t="shared" si="43"/>
        <v>9067458.9600000009</v>
      </c>
      <c r="D643" s="18">
        <v>18740.54</v>
      </c>
      <c r="E643" s="18">
        <v>412523.9</v>
      </c>
      <c r="F643" s="18"/>
      <c r="G643" s="18"/>
      <c r="H643" s="18"/>
      <c r="I643" s="18"/>
      <c r="J643" s="18"/>
      <c r="K643" s="18"/>
      <c r="L643" s="10"/>
      <c r="M643" s="18"/>
      <c r="N643" s="10" t="s">
        <v>355</v>
      </c>
      <c r="O643" s="18">
        <v>8636194.5199999996</v>
      </c>
      <c r="P643" s="18"/>
      <c r="Q643" s="18"/>
      <c r="R643" s="18"/>
      <c r="S643" s="18"/>
    </row>
    <row r="644" spans="1:19" x14ac:dyDescent="0.25">
      <c r="A644" s="9" t="s">
        <v>1262</v>
      </c>
      <c r="B644" s="17" t="s">
        <v>1263</v>
      </c>
      <c r="C644" s="18">
        <f>ROUND(SUM(D644+E644+F644+G644+H644+I644+J644+K644+M644+O644+P644+Q644+R644+S644),2)</f>
        <v>15455608.98</v>
      </c>
      <c r="D644" s="18">
        <f>ROUND((F644+G644+H644+I644+J644+K644+M644+O644+P644+Q644+R644+S644)*0.0214,2)</f>
        <v>323820.28000000003</v>
      </c>
      <c r="E644" s="18"/>
      <c r="F644" s="18"/>
      <c r="G644" s="18">
        <v>6844034.5700000003</v>
      </c>
      <c r="H644" s="18">
        <v>3389918.63</v>
      </c>
      <c r="I644" s="18">
        <v>2035138.22</v>
      </c>
      <c r="J644" s="18">
        <v>2862697.28</v>
      </c>
      <c r="K644" s="18"/>
      <c r="L644" s="10"/>
      <c r="M644" s="18"/>
      <c r="N644" s="10"/>
      <c r="O644" s="18"/>
      <c r="P644" s="18"/>
      <c r="Q644" s="18"/>
      <c r="R644" s="18"/>
      <c r="S644" s="18"/>
    </row>
    <row r="645" spans="1:19" x14ac:dyDescent="0.25">
      <c r="A645" s="9" t="s">
        <v>1264</v>
      </c>
      <c r="B645" s="17" t="s">
        <v>1265</v>
      </c>
      <c r="C645" s="18">
        <f t="shared" ref="C645:C660" si="44">ROUNDUP(SUM(D645+E645+F645+G645+H645+I645+J645+K645+M645+O645+P645+Q645+R645+S645),2)</f>
        <v>716794.54</v>
      </c>
      <c r="D645" s="18"/>
      <c r="E645" s="18">
        <v>716794.54</v>
      </c>
      <c r="F645" s="18"/>
      <c r="G645" s="18"/>
      <c r="H645" s="18"/>
      <c r="I645" s="18"/>
      <c r="J645" s="18"/>
      <c r="K645" s="18"/>
      <c r="L645" s="10"/>
      <c r="M645" s="18"/>
      <c r="N645" s="10"/>
      <c r="O645" s="18"/>
      <c r="P645" s="18"/>
      <c r="Q645" s="18"/>
      <c r="R645" s="18"/>
      <c r="S645" s="18"/>
    </row>
    <row r="646" spans="1:19" x14ac:dyDescent="0.25">
      <c r="A646" s="9" t="s">
        <v>1266</v>
      </c>
      <c r="B646" s="17" t="s">
        <v>1267</v>
      </c>
      <c r="C646" s="18">
        <f t="shared" si="44"/>
        <v>524463.62</v>
      </c>
      <c r="D646" s="18"/>
      <c r="E646" s="18">
        <v>524463.62</v>
      </c>
      <c r="F646" s="18"/>
      <c r="G646" s="18"/>
      <c r="H646" s="18"/>
      <c r="I646" s="18"/>
      <c r="J646" s="18"/>
      <c r="K646" s="18"/>
      <c r="L646" s="10"/>
      <c r="M646" s="18"/>
      <c r="N646" s="10"/>
      <c r="O646" s="18"/>
      <c r="P646" s="18"/>
      <c r="Q646" s="18"/>
      <c r="R646" s="18"/>
      <c r="S646" s="18"/>
    </row>
    <row r="647" spans="1:19" x14ac:dyDescent="0.25">
      <c r="A647" s="9" t="s">
        <v>1268</v>
      </c>
      <c r="B647" s="17" t="s">
        <v>1269</v>
      </c>
      <c r="C647" s="18">
        <f t="shared" si="44"/>
        <v>675564.97</v>
      </c>
      <c r="D647" s="18"/>
      <c r="E647" s="18">
        <v>675564.97</v>
      </c>
      <c r="F647" s="18"/>
      <c r="G647" s="18"/>
      <c r="H647" s="18"/>
      <c r="I647" s="18"/>
      <c r="J647" s="18"/>
      <c r="K647" s="18"/>
      <c r="L647" s="10"/>
      <c r="M647" s="18"/>
      <c r="N647" s="10"/>
      <c r="O647" s="18"/>
      <c r="P647" s="18"/>
      <c r="Q647" s="18"/>
      <c r="R647" s="18"/>
      <c r="S647" s="18"/>
    </row>
    <row r="648" spans="1:19" x14ac:dyDescent="0.25">
      <c r="A648" s="9" t="s">
        <v>1270</v>
      </c>
      <c r="B648" s="17" t="s">
        <v>1271</v>
      </c>
      <c r="C648" s="18">
        <f t="shared" si="44"/>
        <v>676039.09</v>
      </c>
      <c r="D648" s="18"/>
      <c r="E648" s="18">
        <v>676039.09</v>
      </c>
      <c r="F648" s="18"/>
      <c r="G648" s="18"/>
      <c r="H648" s="18"/>
      <c r="I648" s="18"/>
      <c r="J648" s="18"/>
      <c r="K648" s="18"/>
      <c r="L648" s="10"/>
      <c r="M648" s="18"/>
      <c r="N648" s="10"/>
      <c r="O648" s="18"/>
      <c r="P648" s="18"/>
      <c r="Q648" s="18"/>
      <c r="R648" s="18"/>
      <c r="S648" s="18"/>
    </row>
    <row r="649" spans="1:19" x14ac:dyDescent="0.25">
      <c r="A649" s="9" t="s">
        <v>1272</v>
      </c>
      <c r="B649" s="17" t="s">
        <v>1273</v>
      </c>
      <c r="C649" s="18">
        <f t="shared" si="44"/>
        <v>10990573.470000001</v>
      </c>
      <c r="D649" s="18">
        <v>25139.62</v>
      </c>
      <c r="E649" s="18">
        <v>291223.53999999998</v>
      </c>
      <c r="F649" s="18"/>
      <c r="G649" s="18"/>
      <c r="H649" s="18"/>
      <c r="I649" s="18"/>
      <c r="J649" s="18"/>
      <c r="K649" s="18"/>
      <c r="L649" s="10"/>
      <c r="M649" s="18"/>
      <c r="N649" s="10"/>
      <c r="O649" s="18"/>
      <c r="P649" s="18"/>
      <c r="Q649" s="18">
        <v>10674210.310000001</v>
      </c>
      <c r="R649" s="18"/>
      <c r="S649" s="18"/>
    </row>
    <row r="650" spans="1:19" x14ac:dyDescent="0.25">
      <c r="A650" s="9" t="s">
        <v>1274</v>
      </c>
      <c r="B650" s="17" t="s">
        <v>1275</v>
      </c>
      <c r="C650" s="18">
        <f t="shared" si="44"/>
        <v>387778.33</v>
      </c>
      <c r="D650" s="18"/>
      <c r="E650" s="18">
        <v>387778.33</v>
      </c>
      <c r="F650" s="18"/>
      <c r="G650" s="18"/>
      <c r="H650" s="18"/>
      <c r="I650" s="18"/>
      <c r="J650" s="18"/>
      <c r="K650" s="18"/>
      <c r="L650" s="10"/>
      <c r="M650" s="18"/>
      <c r="N650" s="10"/>
      <c r="O650" s="18"/>
      <c r="P650" s="18"/>
      <c r="Q650" s="18"/>
      <c r="R650" s="18"/>
      <c r="S650" s="18"/>
    </row>
    <row r="651" spans="1:19" x14ac:dyDescent="0.25">
      <c r="A651" s="9" t="s">
        <v>1276</v>
      </c>
      <c r="B651" s="17" t="s">
        <v>1277</v>
      </c>
      <c r="C651" s="18">
        <f t="shared" si="44"/>
        <v>609450</v>
      </c>
      <c r="D651" s="18"/>
      <c r="E651" s="18">
        <v>609450</v>
      </c>
      <c r="F651" s="18"/>
      <c r="G651" s="18"/>
      <c r="H651" s="18"/>
      <c r="I651" s="18"/>
      <c r="J651" s="18"/>
      <c r="K651" s="18"/>
      <c r="L651" s="10"/>
      <c r="M651" s="18"/>
      <c r="N651" s="10"/>
      <c r="O651" s="18"/>
      <c r="P651" s="18"/>
      <c r="Q651" s="18"/>
      <c r="R651" s="18"/>
      <c r="S651" s="18"/>
    </row>
    <row r="652" spans="1:19" x14ac:dyDescent="0.25">
      <c r="A652" s="9" t="s">
        <v>1278</v>
      </c>
      <c r="B652" s="17" t="s">
        <v>1279</v>
      </c>
      <c r="C652" s="18">
        <f t="shared" si="44"/>
        <v>519716.61</v>
      </c>
      <c r="D652" s="18"/>
      <c r="E652" s="18">
        <v>519716.61</v>
      </c>
      <c r="F652" s="18"/>
      <c r="G652" s="18"/>
      <c r="H652" s="18"/>
      <c r="I652" s="18"/>
      <c r="J652" s="18"/>
      <c r="K652" s="18"/>
      <c r="L652" s="10"/>
      <c r="M652" s="18"/>
      <c r="N652" s="10"/>
      <c r="O652" s="18"/>
      <c r="P652" s="18"/>
      <c r="Q652" s="18"/>
      <c r="R652" s="18"/>
      <c r="S652" s="18"/>
    </row>
    <row r="653" spans="1:19" x14ac:dyDescent="0.25">
      <c r="A653" s="9" t="s">
        <v>1280</v>
      </c>
      <c r="B653" s="17" t="s">
        <v>1281</v>
      </c>
      <c r="C653" s="18">
        <f t="shared" si="44"/>
        <v>133017.95000000001</v>
      </c>
      <c r="D653" s="18"/>
      <c r="E653" s="18">
        <v>133017.95000000001</v>
      </c>
      <c r="F653" s="18"/>
      <c r="G653" s="18"/>
      <c r="H653" s="18"/>
      <c r="I653" s="18"/>
      <c r="J653" s="18"/>
      <c r="K653" s="18"/>
      <c r="L653" s="10"/>
      <c r="M653" s="18"/>
      <c r="N653" s="10"/>
      <c r="O653" s="18"/>
      <c r="P653" s="18"/>
      <c r="Q653" s="18"/>
      <c r="R653" s="18"/>
      <c r="S653" s="18"/>
    </row>
    <row r="654" spans="1:19" x14ac:dyDescent="0.25">
      <c r="A654" s="9" t="s">
        <v>1282</v>
      </c>
      <c r="B654" s="17" t="s">
        <v>1283</v>
      </c>
      <c r="C654" s="18">
        <f t="shared" si="44"/>
        <v>829634.04</v>
      </c>
      <c r="D654" s="18"/>
      <c r="E654" s="18">
        <v>829634.04</v>
      </c>
      <c r="F654" s="18"/>
      <c r="G654" s="18"/>
      <c r="H654" s="18"/>
      <c r="I654" s="18"/>
      <c r="J654" s="18"/>
      <c r="K654" s="18"/>
      <c r="L654" s="10"/>
      <c r="M654" s="18"/>
      <c r="N654" s="10"/>
      <c r="O654" s="18"/>
      <c r="P654" s="18"/>
      <c r="Q654" s="18"/>
      <c r="R654" s="18"/>
      <c r="S654" s="18"/>
    </row>
    <row r="655" spans="1:19" x14ac:dyDescent="0.25">
      <c r="A655" s="9" t="s">
        <v>1284</v>
      </c>
      <c r="B655" s="17" t="s">
        <v>1285</v>
      </c>
      <c r="C655" s="18">
        <f t="shared" si="44"/>
        <v>156352.04</v>
      </c>
      <c r="D655" s="18"/>
      <c r="E655" s="18">
        <v>156352.04</v>
      </c>
      <c r="F655" s="18"/>
      <c r="G655" s="18"/>
      <c r="H655" s="18"/>
      <c r="I655" s="18"/>
      <c r="J655" s="18"/>
      <c r="K655" s="18"/>
      <c r="L655" s="10"/>
      <c r="M655" s="18"/>
      <c r="N655" s="10"/>
      <c r="O655" s="18"/>
      <c r="P655" s="18"/>
      <c r="Q655" s="18"/>
      <c r="R655" s="18"/>
      <c r="S655" s="18"/>
    </row>
    <row r="656" spans="1:19" x14ac:dyDescent="0.25">
      <c r="A656" s="9" t="s">
        <v>1286</v>
      </c>
      <c r="B656" s="17" t="s">
        <v>1287</v>
      </c>
      <c r="C656" s="18">
        <f t="shared" si="44"/>
        <v>989738.39</v>
      </c>
      <c r="D656" s="18"/>
      <c r="E656" s="18">
        <v>989738.39</v>
      </c>
      <c r="F656" s="18"/>
      <c r="G656" s="18"/>
      <c r="H656" s="18"/>
      <c r="I656" s="18"/>
      <c r="J656" s="18"/>
      <c r="K656" s="18"/>
      <c r="L656" s="10"/>
      <c r="M656" s="18"/>
      <c r="N656" s="10"/>
      <c r="O656" s="18"/>
      <c r="P656" s="18"/>
      <c r="Q656" s="18"/>
      <c r="R656" s="18"/>
      <c r="S656" s="18"/>
    </row>
    <row r="657" spans="1:19" x14ac:dyDescent="0.25">
      <c r="A657" s="9" t="s">
        <v>1288</v>
      </c>
      <c r="B657" s="17" t="s">
        <v>1289</v>
      </c>
      <c r="C657" s="18">
        <f t="shared" si="44"/>
        <v>2011160.7</v>
      </c>
      <c r="D657" s="18"/>
      <c r="E657" s="18">
        <v>2011160.7</v>
      </c>
      <c r="F657" s="18"/>
      <c r="G657" s="18"/>
      <c r="H657" s="18"/>
      <c r="I657" s="18"/>
      <c r="J657" s="18"/>
      <c r="K657" s="18"/>
      <c r="L657" s="10"/>
      <c r="M657" s="18"/>
      <c r="N657" s="10"/>
      <c r="O657" s="18"/>
      <c r="P657" s="18"/>
      <c r="Q657" s="18"/>
      <c r="R657" s="18"/>
      <c r="S657" s="18"/>
    </row>
    <row r="658" spans="1:19" x14ac:dyDescent="0.25">
      <c r="A658" s="9" t="s">
        <v>1290</v>
      </c>
      <c r="B658" s="17" t="s">
        <v>1291</v>
      </c>
      <c r="C658" s="18">
        <f t="shared" si="44"/>
        <v>361462.51</v>
      </c>
      <c r="D658" s="18"/>
      <c r="E658" s="18">
        <v>361462.51</v>
      </c>
      <c r="F658" s="18"/>
      <c r="G658" s="18"/>
      <c r="H658" s="18"/>
      <c r="I658" s="18"/>
      <c r="J658" s="18"/>
      <c r="K658" s="18"/>
      <c r="L658" s="10"/>
      <c r="M658" s="18"/>
      <c r="N658" s="10"/>
      <c r="O658" s="18"/>
      <c r="P658" s="18"/>
      <c r="Q658" s="18"/>
      <c r="R658" s="18"/>
      <c r="S658" s="18"/>
    </row>
    <row r="659" spans="1:19" x14ac:dyDescent="0.25">
      <c r="A659" s="9" t="s">
        <v>1292</v>
      </c>
      <c r="B659" s="17" t="s">
        <v>1293</v>
      </c>
      <c r="C659" s="18">
        <f t="shared" si="44"/>
        <v>523651</v>
      </c>
      <c r="D659" s="18"/>
      <c r="E659" s="18">
        <v>523651</v>
      </c>
      <c r="F659" s="18"/>
      <c r="G659" s="18"/>
      <c r="H659" s="18"/>
      <c r="I659" s="18"/>
      <c r="J659" s="18"/>
      <c r="K659" s="18"/>
      <c r="L659" s="10"/>
      <c r="M659" s="18"/>
      <c r="N659" s="10"/>
      <c r="O659" s="18"/>
      <c r="P659" s="18"/>
      <c r="Q659" s="18"/>
      <c r="R659" s="18"/>
      <c r="S659" s="18"/>
    </row>
    <row r="660" spans="1:19" x14ac:dyDescent="0.25">
      <c r="A660" s="9" t="s">
        <v>1294</v>
      </c>
      <c r="B660" s="17" t="s">
        <v>1295</v>
      </c>
      <c r="C660" s="18">
        <f t="shared" si="44"/>
        <v>184753.9</v>
      </c>
      <c r="D660" s="18"/>
      <c r="E660" s="18">
        <v>184753.9</v>
      </c>
      <c r="F660" s="18"/>
      <c r="G660" s="18"/>
      <c r="H660" s="18"/>
      <c r="I660" s="18"/>
      <c r="J660" s="18"/>
      <c r="K660" s="18"/>
      <c r="L660" s="10"/>
      <c r="M660" s="18"/>
      <c r="N660" s="10"/>
      <c r="O660" s="18"/>
      <c r="P660" s="18"/>
      <c r="Q660" s="18"/>
      <c r="R660" s="18"/>
      <c r="S660" s="18"/>
    </row>
    <row r="661" spans="1:19" x14ac:dyDescent="0.25">
      <c r="A661" s="9" t="s">
        <v>1296</v>
      </c>
      <c r="B661" s="17" t="s">
        <v>1297</v>
      </c>
      <c r="C661" s="18">
        <f>ROUND(SUM(D661+E661+F661+G661+H661+I661+J661+K661+M661+O661+P661+Q661+R661+S661),2)</f>
        <v>9431761.6799999997</v>
      </c>
      <c r="D661" s="18">
        <v>113664.14</v>
      </c>
      <c r="E661" s="18"/>
      <c r="F661" s="18">
        <v>2932646.79</v>
      </c>
      <c r="G661" s="18">
        <v>3773054.07</v>
      </c>
      <c r="H661" s="18">
        <v>1185070.8700000001</v>
      </c>
      <c r="I661" s="18">
        <v>598859.68999999994</v>
      </c>
      <c r="J661" s="18">
        <v>828466.12</v>
      </c>
      <c r="K661" s="18"/>
      <c r="L661" s="10"/>
      <c r="M661" s="18"/>
      <c r="N661" s="10"/>
      <c r="O661" s="18"/>
      <c r="P661" s="18"/>
      <c r="Q661" s="18"/>
      <c r="R661" s="18"/>
      <c r="S661" s="18"/>
    </row>
    <row r="662" spans="1:19" x14ac:dyDescent="0.25">
      <c r="A662" s="9" t="s">
        <v>1298</v>
      </c>
      <c r="B662" s="17" t="s">
        <v>1299</v>
      </c>
      <c r="C662" s="18">
        <f t="shared" ref="C662:C667" si="45">ROUNDUP(SUM(D662+E662+F662+G662+H662+I662+J662+K662+M662+O662+P662+Q662+R662+S662),2)</f>
        <v>20174888.149999999</v>
      </c>
      <c r="D662" s="18">
        <v>48009.11</v>
      </c>
      <c r="E662" s="18">
        <v>325035.59999999998</v>
      </c>
      <c r="F662" s="18"/>
      <c r="G662" s="18"/>
      <c r="H662" s="18"/>
      <c r="I662" s="18"/>
      <c r="J662" s="18"/>
      <c r="K662" s="18"/>
      <c r="L662" s="10"/>
      <c r="M662" s="18"/>
      <c r="N662" s="10" t="s">
        <v>355</v>
      </c>
      <c r="O662" s="18">
        <v>6973268.5</v>
      </c>
      <c r="P662" s="18"/>
      <c r="Q662" s="18">
        <v>12828574.939999999</v>
      </c>
      <c r="R662" s="18"/>
      <c r="S662" s="18"/>
    </row>
    <row r="663" spans="1:19" x14ac:dyDescent="0.25">
      <c r="A663" s="9" t="s">
        <v>1300</v>
      </c>
      <c r="B663" s="17" t="s">
        <v>1301</v>
      </c>
      <c r="C663" s="18">
        <f t="shared" si="45"/>
        <v>7126730.9199999999</v>
      </c>
      <c r="D663" s="18">
        <v>14725.97</v>
      </c>
      <c r="E663" s="18">
        <v>325845.8</v>
      </c>
      <c r="F663" s="18"/>
      <c r="G663" s="18"/>
      <c r="H663" s="18"/>
      <c r="I663" s="18"/>
      <c r="J663" s="18"/>
      <c r="K663" s="18"/>
      <c r="L663" s="10"/>
      <c r="M663" s="18"/>
      <c r="N663" s="10" t="s">
        <v>355</v>
      </c>
      <c r="O663" s="18">
        <v>6786159.1500000004</v>
      </c>
      <c r="P663" s="18"/>
      <c r="Q663" s="18"/>
      <c r="R663" s="18"/>
      <c r="S663" s="18"/>
    </row>
    <row r="664" spans="1:19" x14ac:dyDescent="0.25">
      <c r="A664" s="9" t="s">
        <v>1302</v>
      </c>
      <c r="B664" s="17" t="s">
        <v>1303</v>
      </c>
      <c r="C664" s="18">
        <f t="shared" si="45"/>
        <v>325673.65999999997</v>
      </c>
      <c r="D664" s="18"/>
      <c r="E664" s="18">
        <v>325673.65999999997</v>
      </c>
      <c r="F664" s="18"/>
      <c r="G664" s="18"/>
      <c r="H664" s="18"/>
      <c r="I664" s="18"/>
      <c r="J664" s="18"/>
      <c r="K664" s="18"/>
      <c r="L664" s="10"/>
      <c r="M664" s="18"/>
      <c r="N664" s="10"/>
      <c r="O664" s="18"/>
      <c r="P664" s="18"/>
      <c r="Q664" s="18"/>
      <c r="R664" s="18"/>
      <c r="S664" s="18"/>
    </row>
    <row r="665" spans="1:19" x14ac:dyDescent="0.25">
      <c r="A665" s="9" t="s">
        <v>1304</v>
      </c>
      <c r="B665" s="17" t="s">
        <v>1305</v>
      </c>
      <c r="C665" s="18">
        <f t="shared" si="45"/>
        <v>349789.75</v>
      </c>
      <c r="D665" s="18"/>
      <c r="E665" s="18">
        <v>349789.75</v>
      </c>
      <c r="F665" s="18"/>
      <c r="G665" s="18"/>
      <c r="H665" s="18"/>
      <c r="I665" s="18"/>
      <c r="J665" s="18"/>
      <c r="K665" s="18"/>
      <c r="L665" s="10"/>
      <c r="M665" s="18"/>
      <c r="N665" s="10"/>
      <c r="O665" s="18"/>
      <c r="P665" s="18"/>
      <c r="Q665" s="18"/>
      <c r="R665" s="18"/>
      <c r="S665" s="18"/>
    </row>
    <row r="666" spans="1:19" x14ac:dyDescent="0.25">
      <c r="A666" s="9" t="s">
        <v>1306</v>
      </c>
      <c r="B666" s="17" t="s">
        <v>1307</v>
      </c>
      <c r="C666" s="18">
        <f t="shared" si="45"/>
        <v>282232.45</v>
      </c>
      <c r="D666" s="18"/>
      <c r="E666" s="18">
        <v>282232.45</v>
      </c>
      <c r="F666" s="18"/>
      <c r="G666" s="18"/>
      <c r="H666" s="18"/>
      <c r="I666" s="18"/>
      <c r="J666" s="18"/>
      <c r="K666" s="18"/>
      <c r="L666" s="10"/>
      <c r="M666" s="18"/>
      <c r="N666" s="10"/>
      <c r="O666" s="18"/>
      <c r="P666" s="18"/>
      <c r="Q666" s="18"/>
      <c r="R666" s="18"/>
      <c r="S666" s="18"/>
    </row>
    <row r="667" spans="1:19" x14ac:dyDescent="0.25">
      <c r="A667" s="9" t="s">
        <v>1308</v>
      </c>
      <c r="B667" s="17" t="s">
        <v>1309</v>
      </c>
      <c r="C667" s="18">
        <f t="shared" si="45"/>
        <v>286391.39</v>
      </c>
      <c r="D667" s="18"/>
      <c r="E667" s="18">
        <v>286391.39</v>
      </c>
      <c r="F667" s="18"/>
      <c r="G667" s="18"/>
      <c r="H667" s="18"/>
      <c r="I667" s="18"/>
      <c r="J667" s="18"/>
      <c r="K667" s="18"/>
      <c r="L667" s="10"/>
      <c r="M667" s="18"/>
      <c r="N667" s="10"/>
      <c r="O667" s="18"/>
      <c r="P667" s="18"/>
      <c r="Q667" s="18"/>
      <c r="R667" s="18"/>
      <c r="S667" s="18"/>
    </row>
    <row r="668" spans="1:19" x14ac:dyDescent="0.25">
      <c r="A668" s="9" t="s">
        <v>1310</v>
      </c>
      <c r="B668" s="17" t="s">
        <v>1311</v>
      </c>
      <c r="C668" s="18">
        <f>ROUND(SUM(D668+E668+F668+G668+H668+I668+J668+K668+M668+O668+P668+Q668+R668+S668),2)</f>
        <v>20859006.25</v>
      </c>
      <c r="D668" s="18">
        <v>369476.24</v>
      </c>
      <c r="E668" s="18"/>
      <c r="F668" s="18">
        <v>2760696.9</v>
      </c>
      <c r="G668" s="18">
        <v>4846581.4000000004</v>
      </c>
      <c r="H668" s="18"/>
      <c r="I668" s="18"/>
      <c r="J668" s="18"/>
      <c r="K668" s="18"/>
      <c r="L668" s="10"/>
      <c r="M668" s="18"/>
      <c r="N668" s="10" t="s">
        <v>355</v>
      </c>
      <c r="O668" s="18">
        <v>12882251.710000001</v>
      </c>
      <c r="P668" s="18"/>
      <c r="Q668" s="18"/>
      <c r="R668" s="18"/>
      <c r="S668" s="18"/>
    </row>
    <row r="669" spans="1:19" x14ac:dyDescent="0.25">
      <c r="A669" s="9" t="s">
        <v>1312</v>
      </c>
      <c r="B669" s="17" t="s">
        <v>1313</v>
      </c>
      <c r="C669" s="18">
        <f>ROUND(SUM(D669+E669+F669+G669+H669+I669+J669+K669+M669+O669+P669+Q669+R669+S669),2)</f>
        <v>1342103.6599999999</v>
      </c>
      <c r="D669" s="18">
        <v>16176.31</v>
      </c>
      <c r="E669" s="18"/>
      <c r="F669" s="18"/>
      <c r="G669" s="18">
        <v>1325927.3500000001</v>
      </c>
      <c r="H669" s="18"/>
      <c r="I669" s="18"/>
      <c r="J669" s="18"/>
      <c r="K669" s="18"/>
      <c r="L669" s="10"/>
      <c r="M669" s="18"/>
      <c r="N669" s="10"/>
      <c r="O669" s="18"/>
      <c r="P669" s="18"/>
      <c r="Q669" s="18"/>
      <c r="R669" s="18"/>
      <c r="S669" s="18"/>
    </row>
    <row r="670" spans="1:19" x14ac:dyDescent="0.25">
      <c r="A670" s="9" t="s">
        <v>1314</v>
      </c>
      <c r="B670" s="17" t="s">
        <v>1315</v>
      </c>
      <c r="C670" s="18">
        <f t="shared" ref="C670:C679" si="46">ROUNDUP(SUM(D670+E670+F670+G670+H670+I670+J670+K670+M670+O670+P670+Q670+R670+S670),2)</f>
        <v>12755535.630000001</v>
      </c>
      <c r="D670" s="18">
        <v>26307.25</v>
      </c>
      <c r="E670" s="18">
        <v>606073.67000000004</v>
      </c>
      <c r="F670" s="18"/>
      <c r="G670" s="18"/>
      <c r="H670" s="18"/>
      <c r="I670" s="18"/>
      <c r="J670" s="18"/>
      <c r="K670" s="18"/>
      <c r="L670" s="10"/>
      <c r="M670" s="18"/>
      <c r="N670" s="10" t="s">
        <v>355</v>
      </c>
      <c r="O670" s="18">
        <v>6247441.3099999996</v>
      </c>
      <c r="P670" s="18"/>
      <c r="Q670" s="18">
        <v>5875713.4000000004</v>
      </c>
      <c r="R670" s="18"/>
      <c r="S670" s="18"/>
    </row>
    <row r="671" spans="1:19" x14ac:dyDescent="0.25">
      <c r="A671" s="9" t="s">
        <v>1316</v>
      </c>
      <c r="B671" s="17" t="s">
        <v>1317</v>
      </c>
      <c r="C671" s="18">
        <f t="shared" si="46"/>
        <v>8579795.2699999996</v>
      </c>
      <c r="D671" s="18">
        <v>174745.58</v>
      </c>
      <c r="E671" s="18">
        <v>197178.55</v>
      </c>
      <c r="F671" s="18"/>
      <c r="G671" s="18"/>
      <c r="H671" s="18"/>
      <c r="I671" s="18"/>
      <c r="J671" s="18"/>
      <c r="K671" s="18"/>
      <c r="L671" s="10"/>
      <c r="M671" s="18"/>
      <c r="N671" s="10" t="s">
        <v>355</v>
      </c>
      <c r="O671" s="18">
        <v>8207871.1399999997</v>
      </c>
      <c r="P671" s="18"/>
      <c r="Q671" s="18"/>
      <c r="R671" s="18"/>
      <c r="S671" s="18"/>
    </row>
    <row r="672" spans="1:19" x14ac:dyDescent="0.25">
      <c r="A672" s="9" t="s">
        <v>1318</v>
      </c>
      <c r="B672" s="17" t="s">
        <v>1319</v>
      </c>
      <c r="C672" s="18">
        <f t="shared" si="46"/>
        <v>16998948.600000001</v>
      </c>
      <c r="D672" s="18"/>
      <c r="E672" s="18">
        <v>176562.9</v>
      </c>
      <c r="F672" s="18"/>
      <c r="G672" s="18"/>
      <c r="H672" s="18"/>
      <c r="I672" s="18"/>
      <c r="J672" s="18"/>
      <c r="K672" s="18"/>
      <c r="L672" s="10"/>
      <c r="M672" s="18"/>
      <c r="N672" s="10"/>
      <c r="O672" s="18"/>
      <c r="P672" s="18"/>
      <c r="Q672" s="18"/>
      <c r="R672" s="18">
        <v>16822385.699999999</v>
      </c>
      <c r="S672" s="18"/>
    </row>
    <row r="673" spans="1:19" x14ac:dyDescent="0.25">
      <c r="A673" s="9" t="s">
        <v>1320</v>
      </c>
      <c r="B673" s="17" t="s">
        <v>1321</v>
      </c>
      <c r="C673" s="18">
        <f t="shared" si="46"/>
        <v>176306.92</v>
      </c>
      <c r="D673" s="18"/>
      <c r="E673" s="18">
        <v>176306.92</v>
      </c>
      <c r="F673" s="18"/>
      <c r="G673" s="18"/>
      <c r="H673" s="18"/>
      <c r="I673" s="18"/>
      <c r="J673" s="18"/>
      <c r="K673" s="18"/>
      <c r="L673" s="10"/>
      <c r="M673" s="18"/>
      <c r="N673" s="10"/>
      <c r="O673" s="18"/>
      <c r="P673" s="18"/>
      <c r="Q673" s="18"/>
      <c r="R673" s="18"/>
      <c r="S673" s="18"/>
    </row>
    <row r="674" spans="1:19" x14ac:dyDescent="0.25">
      <c r="A674" s="9" t="s">
        <v>1322</v>
      </c>
      <c r="B674" s="17" t="s">
        <v>1323</v>
      </c>
      <c r="C674" s="18">
        <f t="shared" si="46"/>
        <v>821983.22</v>
      </c>
      <c r="D674" s="18"/>
      <c r="E674" s="18">
        <v>821983.22</v>
      </c>
      <c r="F674" s="18"/>
      <c r="G674" s="18"/>
      <c r="H674" s="18"/>
      <c r="I674" s="18"/>
      <c r="J674" s="18"/>
      <c r="K674" s="18"/>
      <c r="L674" s="10"/>
      <c r="M674" s="18"/>
      <c r="N674" s="10"/>
      <c r="O674" s="18"/>
      <c r="P674" s="18"/>
      <c r="Q674" s="18"/>
      <c r="R674" s="18"/>
      <c r="S674" s="18"/>
    </row>
    <row r="675" spans="1:19" x14ac:dyDescent="0.25">
      <c r="A675" s="9" t="s">
        <v>1324</v>
      </c>
      <c r="B675" s="17" t="s">
        <v>1325</v>
      </c>
      <c r="C675" s="18">
        <f t="shared" si="46"/>
        <v>817436.4</v>
      </c>
      <c r="D675" s="18"/>
      <c r="E675" s="18">
        <v>817436.4</v>
      </c>
      <c r="F675" s="18"/>
      <c r="G675" s="18"/>
      <c r="H675" s="18"/>
      <c r="I675" s="18"/>
      <c r="J675" s="18"/>
      <c r="K675" s="18"/>
      <c r="L675" s="10"/>
      <c r="M675" s="18"/>
      <c r="N675" s="10"/>
      <c r="O675" s="18"/>
      <c r="P675" s="18"/>
      <c r="Q675" s="18"/>
      <c r="R675" s="18"/>
      <c r="S675" s="18"/>
    </row>
    <row r="676" spans="1:19" x14ac:dyDescent="0.25">
      <c r="A676" s="9" t="s">
        <v>1326</v>
      </c>
      <c r="B676" s="17" t="s">
        <v>1327</v>
      </c>
      <c r="C676" s="18">
        <f t="shared" si="46"/>
        <v>821632.18</v>
      </c>
      <c r="D676" s="18"/>
      <c r="E676" s="18">
        <v>821632.18</v>
      </c>
      <c r="F676" s="18"/>
      <c r="G676" s="18"/>
      <c r="H676" s="18"/>
      <c r="I676" s="18"/>
      <c r="J676" s="18"/>
      <c r="K676" s="18"/>
      <c r="L676" s="10"/>
      <c r="M676" s="18"/>
      <c r="N676" s="10"/>
      <c r="O676" s="18"/>
      <c r="P676" s="18"/>
      <c r="Q676" s="18"/>
      <c r="R676" s="18"/>
      <c r="S676" s="18"/>
    </row>
    <row r="677" spans="1:19" x14ac:dyDescent="0.25">
      <c r="A677" s="9" t="s">
        <v>1328</v>
      </c>
      <c r="B677" s="17" t="s">
        <v>1329</v>
      </c>
      <c r="C677" s="18">
        <f t="shared" si="46"/>
        <v>813244.25</v>
      </c>
      <c r="D677" s="18"/>
      <c r="E677" s="18">
        <v>813244.25</v>
      </c>
      <c r="F677" s="18"/>
      <c r="G677" s="18"/>
      <c r="H677" s="18"/>
      <c r="I677" s="18"/>
      <c r="J677" s="18"/>
      <c r="K677" s="18"/>
      <c r="L677" s="10"/>
      <c r="M677" s="18"/>
      <c r="N677" s="10"/>
      <c r="O677" s="18"/>
      <c r="P677" s="18"/>
      <c r="Q677" s="18"/>
      <c r="R677" s="18"/>
      <c r="S677" s="18"/>
    </row>
    <row r="678" spans="1:19" x14ac:dyDescent="0.25">
      <c r="A678" s="9" t="s">
        <v>1330</v>
      </c>
      <c r="B678" s="17" t="s">
        <v>1331</v>
      </c>
      <c r="C678" s="18">
        <f t="shared" si="46"/>
        <v>108045.65</v>
      </c>
      <c r="D678" s="18"/>
      <c r="E678" s="18">
        <v>108045.65</v>
      </c>
      <c r="F678" s="18"/>
      <c r="G678" s="18"/>
      <c r="H678" s="18"/>
      <c r="I678" s="18"/>
      <c r="J678" s="18"/>
      <c r="K678" s="18"/>
      <c r="L678" s="10"/>
      <c r="M678" s="18"/>
      <c r="N678" s="10"/>
      <c r="O678" s="18"/>
      <c r="P678" s="18"/>
      <c r="Q678" s="18"/>
      <c r="R678" s="18"/>
      <c r="S678" s="18"/>
    </row>
    <row r="679" spans="1:19" x14ac:dyDescent="0.25">
      <c r="A679" s="9" t="s">
        <v>1332</v>
      </c>
      <c r="B679" s="17" t="s">
        <v>1333</v>
      </c>
      <c r="C679" s="18">
        <f t="shared" si="46"/>
        <v>108180.35</v>
      </c>
      <c r="D679" s="18"/>
      <c r="E679" s="18">
        <v>108180.35</v>
      </c>
      <c r="F679" s="18"/>
      <c r="G679" s="18"/>
      <c r="H679" s="18"/>
      <c r="I679" s="18"/>
      <c r="J679" s="18"/>
      <c r="K679" s="18"/>
      <c r="L679" s="10"/>
      <c r="M679" s="18"/>
      <c r="N679" s="10"/>
      <c r="O679" s="18"/>
      <c r="P679" s="18"/>
      <c r="Q679" s="18"/>
      <c r="R679" s="18"/>
      <c r="S679" s="18"/>
    </row>
    <row r="680" spans="1:19" x14ac:dyDescent="0.25">
      <c r="A680" s="9" t="s">
        <v>1334</v>
      </c>
      <c r="B680" s="17" t="s">
        <v>1335</v>
      </c>
      <c r="C680" s="18">
        <f>ROUND(SUM(D680+E680+F680+G680+H680+I680+J680+K680+M680+O680+P680+Q680+R680+S680),2)</f>
        <v>2983011.26</v>
      </c>
      <c r="D680" s="18">
        <v>35954.1</v>
      </c>
      <c r="E680" s="18"/>
      <c r="F680" s="18"/>
      <c r="G680" s="18">
        <v>2947057.16</v>
      </c>
      <c r="H680" s="18"/>
      <c r="I680" s="18"/>
      <c r="J680" s="18"/>
      <c r="K680" s="18"/>
      <c r="L680" s="10"/>
      <c r="M680" s="18"/>
      <c r="N680" s="10"/>
      <c r="O680" s="18"/>
      <c r="P680" s="18"/>
      <c r="Q680" s="18"/>
      <c r="R680" s="18"/>
      <c r="S680" s="18"/>
    </row>
    <row r="681" spans="1:19" x14ac:dyDescent="0.25">
      <c r="A681" s="9" t="s">
        <v>1336</v>
      </c>
      <c r="B681" s="17" t="s">
        <v>1337</v>
      </c>
      <c r="C681" s="18">
        <f t="shared" ref="C681:C704" si="47">ROUNDUP(SUM(D681+E681+F681+G681+H681+I681+J681+K681+M681+O681+P681+Q681+R681+S681),2)</f>
        <v>175552.43</v>
      </c>
      <c r="D681" s="18"/>
      <c r="E681" s="18">
        <v>175552.43</v>
      </c>
      <c r="F681" s="18"/>
      <c r="G681" s="18"/>
      <c r="H681" s="18"/>
      <c r="I681" s="18"/>
      <c r="J681" s="18"/>
      <c r="K681" s="18"/>
      <c r="L681" s="10"/>
      <c r="M681" s="18"/>
      <c r="N681" s="10"/>
      <c r="O681" s="18"/>
      <c r="P681" s="18"/>
      <c r="Q681" s="18"/>
      <c r="R681" s="18"/>
      <c r="S681" s="18"/>
    </row>
    <row r="682" spans="1:19" x14ac:dyDescent="0.25">
      <c r="A682" s="9" t="s">
        <v>1338</v>
      </c>
      <c r="B682" s="17" t="s">
        <v>1339</v>
      </c>
      <c r="C682" s="18">
        <f t="shared" si="47"/>
        <v>192332.05</v>
      </c>
      <c r="D682" s="18"/>
      <c r="E682" s="18">
        <v>192332.05</v>
      </c>
      <c r="F682" s="18"/>
      <c r="G682" s="18"/>
      <c r="H682" s="18"/>
      <c r="I682" s="18"/>
      <c r="J682" s="18"/>
      <c r="K682" s="18"/>
      <c r="L682" s="10"/>
      <c r="M682" s="18"/>
      <c r="N682" s="10"/>
      <c r="O682" s="18"/>
      <c r="P682" s="18"/>
      <c r="Q682" s="18"/>
      <c r="R682" s="18"/>
      <c r="S682" s="18"/>
    </row>
    <row r="683" spans="1:19" x14ac:dyDescent="0.25">
      <c r="A683" s="9" t="s">
        <v>1340</v>
      </c>
      <c r="B683" s="17" t="s">
        <v>1341</v>
      </c>
      <c r="C683" s="18">
        <f t="shared" si="47"/>
        <v>333552.40999999997</v>
      </c>
      <c r="D683" s="18"/>
      <c r="E683" s="18">
        <v>333552.40999999997</v>
      </c>
      <c r="F683" s="18"/>
      <c r="G683" s="18"/>
      <c r="H683" s="18"/>
      <c r="I683" s="18"/>
      <c r="J683" s="18"/>
      <c r="K683" s="18"/>
      <c r="L683" s="10"/>
      <c r="M683" s="18"/>
      <c r="N683" s="10"/>
      <c r="O683" s="18"/>
      <c r="P683" s="18"/>
      <c r="Q683" s="18"/>
      <c r="R683" s="18"/>
      <c r="S683" s="18"/>
    </row>
    <row r="684" spans="1:19" x14ac:dyDescent="0.25">
      <c r="A684" s="9" t="s">
        <v>1342</v>
      </c>
      <c r="B684" s="17" t="s">
        <v>1343</v>
      </c>
      <c r="C684" s="18">
        <f t="shared" si="47"/>
        <v>256721.24</v>
      </c>
      <c r="D684" s="18"/>
      <c r="E684" s="18">
        <v>256721.24</v>
      </c>
      <c r="F684" s="18"/>
      <c r="G684" s="18"/>
      <c r="H684" s="18"/>
      <c r="I684" s="18"/>
      <c r="J684" s="18"/>
      <c r="K684" s="18"/>
      <c r="L684" s="10"/>
      <c r="M684" s="18"/>
      <c r="N684" s="10"/>
      <c r="O684" s="18"/>
      <c r="P684" s="18"/>
      <c r="Q684" s="18"/>
      <c r="R684" s="18"/>
      <c r="S684" s="18"/>
    </row>
    <row r="685" spans="1:19" x14ac:dyDescent="0.25">
      <c r="A685" s="9" t="s">
        <v>1344</v>
      </c>
      <c r="B685" s="17" t="s">
        <v>1345</v>
      </c>
      <c r="C685" s="18">
        <f t="shared" si="47"/>
        <v>294304.61</v>
      </c>
      <c r="D685" s="18"/>
      <c r="E685" s="18">
        <v>294304.61</v>
      </c>
      <c r="F685" s="18"/>
      <c r="G685" s="18"/>
      <c r="H685" s="18"/>
      <c r="I685" s="18"/>
      <c r="J685" s="18"/>
      <c r="K685" s="18"/>
      <c r="L685" s="10"/>
      <c r="M685" s="18"/>
      <c r="N685" s="10"/>
      <c r="O685" s="18"/>
      <c r="P685" s="18"/>
      <c r="Q685" s="18"/>
      <c r="R685" s="18"/>
      <c r="S685" s="18"/>
    </row>
    <row r="686" spans="1:19" x14ac:dyDescent="0.25">
      <c r="A686" s="9" t="s">
        <v>1346</v>
      </c>
      <c r="B686" s="17" t="s">
        <v>1347</v>
      </c>
      <c r="C686" s="18">
        <f t="shared" si="47"/>
        <v>127613.14</v>
      </c>
      <c r="D686" s="18"/>
      <c r="E686" s="18">
        <v>127613.14</v>
      </c>
      <c r="F686" s="18"/>
      <c r="G686" s="18"/>
      <c r="H686" s="18"/>
      <c r="I686" s="18"/>
      <c r="J686" s="18"/>
      <c r="K686" s="18"/>
      <c r="L686" s="10"/>
      <c r="M686" s="18"/>
      <c r="N686" s="10"/>
      <c r="O686" s="18"/>
      <c r="P686" s="18"/>
      <c r="Q686" s="18"/>
      <c r="R686" s="18"/>
      <c r="S686" s="18"/>
    </row>
    <row r="687" spans="1:19" x14ac:dyDescent="0.25">
      <c r="A687" s="9" t="s">
        <v>1348</v>
      </c>
      <c r="B687" s="17" t="s">
        <v>1349</v>
      </c>
      <c r="C687" s="18">
        <f>ROUNDUP(SUM(D687+E687+F687+G687+H687+I687+J687+K687+M687+O687+P687+Q687+R687+S687),2)</f>
        <v>11696074.359999999</v>
      </c>
      <c r="D687" s="18">
        <f>39571.72+169126.69+144949.45</f>
        <v>353647.86</v>
      </c>
      <c r="E687" s="18"/>
      <c r="F687" s="18">
        <v>2341598.1</v>
      </c>
      <c r="G687" s="18">
        <v>2314135.7400000002</v>
      </c>
      <c r="H687" s="18">
        <v>3344480.28</v>
      </c>
      <c r="I687" s="18">
        <v>1528230.83</v>
      </c>
      <c r="J687" s="18">
        <v>1813981.55</v>
      </c>
      <c r="K687" s="18"/>
      <c r="L687" s="10"/>
      <c r="M687" s="18"/>
      <c r="N687" s="10"/>
      <c r="O687" s="18"/>
      <c r="P687" s="18"/>
      <c r="Q687" s="18"/>
      <c r="R687" s="18"/>
      <c r="S687" s="18"/>
    </row>
    <row r="688" spans="1:19" x14ac:dyDescent="0.25">
      <c r="A688" s="9" t="s">
        <v>1350</v>
      </c>
      <c r="B688" s="17" t="s">
        <v>1351</v>
      </c>
      <c r="C688" s="18">
        <f t="shared" si="47"/>
        <v>15719036.810000001</v>
      </c>
      <c r="D688" s="18">
        <v>48538.83</v>
      </c>
      <c r="E688" s="18"/>
      <c r="F688" s="18"/>
      <c r="G688" s="18">
        <v>3004684.83</v>
      </c>
      <c r="H688" s="18"/>
      <c r="I688" s="18"/>
      <c r="J688" s="18"/>
      <c r="K688" s="18"/>
      <c r="L688" s="10"/>
      <c r="M688" s="18"/>
      <c r="N688" s="10"/>
      <c r="O688" s="18"/>
      <c r="P688" s="18"/>
      <c r="Q688" s="18">
        <v>12665813.15</v>
      </c>
      <c r="R688" s="18"/>
      <c r="S688" s="18"/>
    </row>
    <row r="689" spans="1:19" x14ac:dyDescent="0.25">
      <c r="A689" s="9" t="s">
        <v>2070</v>
      </c>
      <c r="B689" s="17" t="s">
        <v>1353</v>
      </c>
      <c r="C689" s="18">
        <f t="shared" si="47"/>
        <v>158437.44</v>
      </c>
      <c r="D689" s="18"/>
      <c r="E689" s="18">
        <v>158437.44</v>
      </c>
      <c r="F689" s="18"/>
      <c r="G689" s="18"/>
      <c r="H689" s="18"/>
      <c r="I689" s="18"/>
      <c r="J689" s="18"/>
      <c r="K689" s="18"/>
      <c r="L689" s="10"/>
      <c r="M689" s="18"/>
      <c r="N689" s="10"/>
      <c r="O689" s="18"/>
      <c r="P689" s="18"/>
      <c r="Q689" s="18"/>
      <c r="R689" s="18"/>
      <c r="S689" s="18"/>
    </row>
    <row r="690" spans="1:19" x14ac:dyDescent="0.25">
      <c r="A690" s="9" t="s">
        <v>1352</v>
      </c>
      <c r="B690" s="17" t="s">
        <v>1355</v>
      </c>
      <c r="C690" s="18">
        <f t="shared" si="47"/>
        <v>978973.27</v>
      </c>
      <c r="D690" s="18"/>
      <c r="E690" s="18">
        <v>978973.27</v>
      </c>
      <c r="F690" s="18"/>
      <c r="G690" s="18"/>
      <c r="H690" s="18"/>
      <c r="I690" s="18"/>
      <c r="J690" s="18"/>
      <c r="K690" s="18"/>
      <c r="L690" s="10"/>
      <c r="M690" s="18"/>
      <c r="N690" s="10"/>
      <c r="O690" s="18"/>
      <c r="P690" s="18"/>
      <c r="Q690" s="18"/>
      <c r="R690" s="18"/>
      <c r="S690" s="18"/>
    </row>
    <row r="691" spans="1:19" x14ac:dyDescent="0.25">
      <c r="A691" s="9" t="s">
        <v>1354</v>
      </c>
      <c r="B691" s="17" t="s">
        <v>1357</v>
      </c>
      <c r="C691" s="18">
        <f t="shared" si="47"/>
        <v>714126.71</v>
      </c>
      <c r="D691" s="18"/>
      <c r="E691" s="18">
        <v>714126.71</v>
      </c>
      <c r="F691" s="18"/>
      <c r="G691" s="18"/>
      <c r="H691" s="18"/>
      <c r="I691" s="18"/>
      <c r="J691" s="18"/>
      <c r="K691" s="18"/>
      <c r="L691" s="10"/>
      <c r="M691" s="18"/>
      <c r="N691" s="10"/>
      <c r="O691" s="18"/>
      <c r="P691" s="18"/>
      <c r="Q691" s="18"/>
      <c r="R691" s="18"/>
      <c r="S691" s="18"/>
    </row>
    <row r="692" spans="1:19" x14ac:dyDescent="0.25">
      <c r="A692" s="9" t="s">
        <v>1356</v>
      </c>
      <c r="B692" s="17" t="s">
        <v>1359</v>
      </c>
      <c r="C692" s="18">
        <f>ROUNDUP(SUM(D692+E692+F692+G692+H692+I692+J692+K692+M692+O692+P692+Q692+R692+S692),2)</f>
        <v>236598.77</v>
      </c>
      <c r="D692" s="18"/>
      <c r="E692" s="18">
        <v>236598.77</v>
      </c>
      <c r="F692" s="18"/>
      <c r="G692" s="18"/>
      <c r="H692" s="18"/>
      <c r="I692" s="18"/>
      <c r="J692" s="18"/>
      <c r="K692" s="18"/>
      <c r="L692" s="10"/>
      <c r="M692" s="18"/>
      <c r="N692" s="10"/>
      <c r="O692" s="18"/>
      <c r="P692" s="18"/>
      <c r="Q692" s="18"/>
      <c r="R692" s="18"/>
      <c r="S692" s="18"/>
    </row>
    <row r="693" spans="1:19" x14ac:dyDescent="0.25">
      <c r="A693" s="9" t="s">
        <v>1358</v>
      </c>
      <c r="B693" s="17" t="s">
        <v>1361</v>
      </c>
      <c r="C693" s="18">
        <f t="shared" si="47"/>
        <v>932864.42</v>
      </c>
      <c r="D693" s="18"/>
      <c r="E693" s="18">
        <v>932864.42</v>
      </c>
      <c r="F693" s="18"/>
      <c r="G693" s="18"/>
      <c r="H693" s="18"/>
      <c r="I693" s="18"/>
      <c r="J693" s="18"/>
      <c r="K693" s="18"/>
      <c r="L693" s="10"/>
      <c r="M693" s="18"/>
      <c r="N693" s="10"/>
      <c r="O693" s="18"/>
      <c r="P693" s="18"/>
      <c r="Q693" s="18"/>
      <c r="R693" s="18"/>
      <c r="S693" s="18"/>
    </row>
    <row r="694" spans="1:19" x14ac:dyDescent="0.25">
      <c r="A694" s="9" t="s">
        <v>1360</v>
      </c>
      <c r="B694" s="17" t="s">
        <v>1363</v>
      </c>
      <c r="C694" s="18">
        <f t="shared" si="47"/>
        <v>27682827.489999998</v>
      </c>
      <c r="D694" s="18">
        <v>59941.66</v>
      </c>
      <c r="E694" s="18"/>
      <c r="F694" s="18">
        <v>2467653.88</v>
      </c>
      <c r="G694" s="18">
        <v>4560109.74</v>
      </c>
      <c r="H694" s="18"/>
      <c r="I694" s="18"/>
      <c r="J694" s="18"/>
      <c r="K694" s="18"/>
      <c r="L694" s="10"/>
      <c r="M694" s="18"/>
      <c r="N694" s="10" t="s">
        <v>355</v>
      </c>
      <c r="O694" s="18">
        <v>10378503.42</v>
      </c>
      <c r="P694" s="18"/>
      <c r="Q694" s="18">
        <v>10216618.789999999</v>
      </c>
      <c r="R694" s="18"/>
      <c r="S694" s="18"/>
    </row>
    <row r="695" spans="1:19" x14ac:dyDescent="0.25">
      <c r="A695" s="9" t="s">
        <v>1362</v>
      </c>
      <c r="B695" s="17" t="s">
        <v>1365</v>
      </c>
      <c r="C695" s="18">
        <f t="shared" si="47"/>
        <v>752363.36</v>
      </c>
      <c r="D695" s="18"/>
      <c r="E695" s="18">
        <v>752363.36</v>
      </c>
      <c r="F695" s="18"/>
      <c r="G695" s="18"/>
      <c r="H695" s="18"/>
      <c r="I695" s="18"/>
      <c r="J695" s="18"/>
      <c r="K695" s="18"/>
      <c r="L695" s="10"/>
      <c r="M695" s="18"/>
      <c r="N695" s="10"/>
      <c r="O695" s="18"/>
      <c r="P695" s="18"/>
      <c r="Q695" s="18"/>
      <c r="R695" s="18"/>
      <c r="S695" s="18"/>
    </row>
    <row r="696" spans="1:19" x14ac:dyDescent="0.25">
      <c r="A696" s="9" t="s">
        <v>1364</v>
      </c>
      <c r="B696" s="17" t="s">
        <v>1367</v>
      </c>
      <c r="C696" s="18">
        <f t="shared" si="47"/>
        <v>2816248.54</v>
      </c>
      <c r="D696" s="18">
        <v>14680.22</v>
      </c>
      <c r="E696" s="18"/>
      <c r="F696" s="18"/>
      <c r="G696" s="18">
        <v>2801568.32</v>
      </c>
      <c r="H696" s="18"/>
      <c r="I696" s="18"/>
      <c r="J696" s="18"/>
      <c r="K696" s="18"/>
      <c r="L696" s="10"/>
      <c r="M696" s="18"/>
      <c r="N696" s="10"/>
      <c r="O696" s="18"/>
      <c r="P696" s="18"/>
      <c r="Q696" s="18"/>
      <c r="R696" s="18"/>
      <c r="S696" s="18"/>
    </row>
    <row r="697" spans="1:19" x14ac:dyDescent="0.25">
      <c r="A697" s="9" t="s">
        <v>1366</v>
      </c>
      <c r="B697" s="17" t="s">
        <v>1369</v>
      </c>
      <c r="C697" s="18">
        <f t="shared" si="47"/>
        <v>121915.42</v>
      </c>
      <c r="D697" s="18"/>
      <c r="E697" s="18">
        <v>121915.42</v>
      </c>
      <c r="F697" s="18"/>
      <c r="G697" s="18"/>
      <c r="H697" s="18"/>
      <c r="I697" s="18"/>
      <c r="J697" s="18"/>
      <c r="K697" s="18"/>
      <c r="L697" s="10"/>
      <c r="M697" s="18"/>
      <c r="N697" s="10"/>
      <c r="O697" s="18"/>
      <c r="P697" s="18"/>
      <c r="Q697" s="18"/>
      <c r="R697" s="18"/>
      <c r="S697" s="18"/>
    </row>
    <row r="698" spans="1:19" x14ac:dyDescent="0.25">
      <c r="A698" s="9" t="s">
        <v>1368</v>
      </c>
      <c r="B698" s="17" t="s">
        <v>1371</v>
      </c>
      <c r="C698" s="18">
        <f t="shared" si="47"/>
        <v>16598763.060000001</v>
      </c>
      <c r="D698" s="18">
        <v>79457.850000000006</v>
      </c>
      <c r="E698" s="18"/>
      <c r="F698" s="18">
        <v>2105867.2799999998</v>
      </c>
      <c r="G698" s="18"/>
      <c r="H698" s="18"/>
      <c r="I698" s="18"/>
      <c r="J698" s="18"/>
      <c r="K698" s="18"/>
      <c r="L698" s="10"/>
      <c r="M698" s="18"/>
      <c r="N698" s="10" t="s">
        <v>355</v>
      </c>
      <c r="O698" s="18">
        <v>6563212.4800000004</v>
      </c>
      <c r="P698" s="18"/>
      <c r="Q698" s="18">
        <v>7850225.4500000002</v>
      </c>
      <c r="R698" s="18"/>
      <c r="S698" s="18"/>
    </row>
    <row r="699" spans="1:19" x14ac:dyDescent="0.25">
      <c r="A699" s="9" t="s">
        <v>1370</v>
      </c>
      <c r="B699" s="17" t="s">
        <v>1373</v>
      </c>
      <c r="C699" s="18">
        <f t="shared" si="47"/>
        <v>10480755.529999999</v>
      </c>
      <c r="D699" s="18">
        <v>50171.11</v>
      </c>
      <c r="E699" s="18"/>
      <c r="F699" s="18">
        <v>2563534.29</v>
      </c>
      <c r="G699" s="18"/>
      <c r="H699" s="18"/>
      <c r="I699" s="18"/>
      <c r="J699" s="18"/>
      <c r="K699" s="18"/>
      <c r="L699" s="10"/>
      <c r="M699" s="18"/>
      <c r="N699" s="10"/>
      <c r="O699" s="18"/>
      <c r="P699" s="18"/>
      <c r="Q699" s="18">
        <v>7867050.1299999999</v>
      </c>
      <c r="R699" s="18"/>
      <c r="S699" s="18"/>
    </row>
    <row r="700" spans="1:19" x14ac:dyDescent="0.25">
      <c r="A700" s="9" t="s">
        <v>1372</v>
      </c>
      <c r="B700" s="17" t="s">
        <v>1375</v>
      </c>
      <c r="C700" s="18">
        <f t="shared" si="47"/>
        <v>533766.06000000006</v>
      </c>
      <c r="D700" s="18"/>
      <c r="E700" s="18">
        <v>533766.06000000006</v>
      </c>
      <c r="F700" s="18"/>
      <c r="G700" s="18"/>
      <c r="H700" s="18"/>
      <c r="I700" s="18"/>
      <c r="J700" s="18"/>
      <c r="K700" s="18"/>
      <c r="L700" s="10"/>
      <c r="M700" s="18"/>
      <c r="N700" s="10"/>
      <c r="O700" s="18"/>
      <c r="P700" s="18"/>
      <c r="Q700" s="18"/>
      <c r="R700" s="18"/>
      <c r="S700" s="18"/>
    </row>
    <row r="701" spans="1:19" x14ac:dyDescent="0.25">
      <c r="A701" s="9" t="s">
        <v>1374</v>
      </c>
      <c r="B701" s="17" t="s">
        <v>1377</v>
      </c>
      <c r="C701" s="18">
        <f t="shared" si="47"/>
        <v>838405.79</v>
      </c>
      <c r="D701" s="18"/>
      <c r="E701" s="18">
        <v>838405.79</v>
      </c>
      <c r="F701" s="18"/>
      <c r="G701" s="18"/>
      <c r="H701" s="18"/>
      <c r="I701" s="18"/>
      <c r="J701" s="18"/>
      <c r="K701" s="18"/>
      <c r="L701" s="10"/>
      <c r="M701" s="18"/>
      <c r="N701" s="10"/>
      <c r="O701" s="18"/>
      <c r="P701" s="18"/>
      <c r="Q701" s="18"/>
      <c r="R701" s="18"/>
      <c r="S701" s="18"/>
    </row>
    <row r="702" spans="1:19" x14ac:dyDescent="0.25">
      <c r="A702" s="9" t="s">
        <v>1376</v>
      </c>
      <c r="B702" s="17" t="s">
        <v>1379</v>
      </c>
      <c r="C702" s="18">
        <f t="shared" si="47"/>
        <v>867715</v>
      </c>
      <c r="D702" s="18"/>
      <c r="E702" s="18">
        <v>867715</v>
      </c>
      <c r="F702" s="18"/>
      <c r="G702" s="18"/>
      <c r="H702" s="18"/>
      <c r="I702" s="18"/>
      <c r="J702" s="18"/>
      <c r="K702" s="18"/>
      <c r="L702" s="10"/>
      <c r="M702" s="18"/>
      <c r="N702" s="10"/>
      <c r="O702" s="18"/>
      <c r="P702" s="18"/>
      <c r="Q702" s="18"/>
      <c r="R702" s="18"/>
      <c r="S702" s="18"/>
    </row>
    <row r="703" spans="1:19" x14ac:dyDescent="0.25">
      <c r="A703" s="9" t="s">
        <v>1378</v>
      </c>
      <c r="B703" s="17" t="s">
        <v>1381</v>
      </c>
      <c r="C703" s="18">
        <f t="shared" si="47"/>
        <v>529647.64</v>
      </c>
      <c r="D703" s="18"/>
      <c r="E703" s="18">
        <v>529647.64</v>
      </c>
      <c r="F703" s="18"/>
      <c r="G703" s="18"/>
      <c r="H703" s="18"/>
      <c r="I703" s="18"/>
      <c r="J703" s="18"/>
      <c r="K703" s="18"/>
      <c r="L703" s="10"/>
      <c r="M703" s="18"/>
      <c r="N703" s="10"/>
      <c r="O703" s="18"/>
      <c r="P703" s="18"/>
      <c r="Q703" s="18"/>
      <c r="R703" s="18"/>
      <c r="S703" s="18"/>
    </row>
    <row r="704" spans="1:19" x14ac:dyDescent="0.25">
      <c r="A704" s="9" t="s">
        <v>1380</v>
      </c>
      <c r="B704" s="17" t="s">
        <v>1383</v>
      </c>
      <c r="C704" s="18">
        <f t="shared" si="47"/>
        <v>709166.1</v>
      </c>
      <c r="D704" s="18"/>
      <c r="E704" s="18">
        <v>709166.1</v>
      </c>
      <c r="F704" s="18"/>
      <c r="G704" s="18"/>
      <c r="H704" s="18"/>
      <c r="I704" s="18"/>
      <c r="J704" s="18"/>
      <c r="K704" s="18"/>
      <c r="L704" s="10"/>
      <c r="M704" s="18"/>
      <c r="N704" s="10"/>
      <c r="O704" s="18"/>
      <c r="P704" s="18"/>
      <c r="Q704" s="18"/>
      <c r="R704" s="18"/>
      <c r="S704" s="18"/>
    </row>
    <row r="705" spans="1:19" x14ac:dyDescent="0.25">
      <c r="A705" s="9" t="s">
        <v>1382</v>
      </c>
      <c r="B705" s="17" t="s">
        <v>1385</v>
      </c>
      <c r="C705" s="18">
        <f>ROUNDUP(SUM(D705+E705+F705+G705+H705+I705+J705+K705+M705+O705+P705+Q705+R705+S705),2)</f>
        <v>16715784.25</v>
      </c>
      <c r="D705" s="18">
        <v>36194.71</v>
      </c>
      <c r="E705" s="18"/>
      <c r="F705" s="18">
        <v>3746389.69</v>
      </c>
      <c r="G705" s="18">
        <v>4318863.17</v>
      </c>
      <c r="H705" s="18">
        <v>989625.86</v>
      </c>
      <c r="I705" s="18">
        <v>461205.7</v>
      </c>
      <c r="J705" s="18">
        <v>1031318.85</v>
      </c>
      <c r="K705" s="18"/>
      <c r="L705" s="10"/>
      <c r="M705" s="18"/>
      <c r="N705" s="10" t="s">
        <v>355</v>
      </c>
      <c r="O705" s="18">
        <v>6132186.2699999996</v>
      </c>
      <c r="P705" s="18"/>
      <c r="Q705" s="18"/>
      <c r="R705" s="18"/>
      <c r="S705" s="18"/>
    </row>
    <row r="706" spans="1:19" x14ac:dyDescent="0.25">
      <c r="A706" s="9" t="s">
        <v>1384</v>
      </c>
      <c r="B706" s="17" t="s">
        <v>1387</v>
      </c>
      <c r="C706" s="18">
        <v>513255.75</v>
      </c>
      <c r="D706" s="18"/>
      <c r="E706" s="18">
        <v>513255.75</v>
      </c>
      <c r="F706" s="18"/>
      <c r="G706" s="18"/>
      <c r="H706" s="18"/>
      <c r="I706" s="18"/>
      <c r="J706" s="18"/>
      <c r="K706" s="18"/>
      <c r="L706" s="10"/>
      <c r="M706" s="18"/>
      <c r="N706" s="10"/>
      <c r="O706" s="18"/>
      <c r="P706" s="18"/>
      <c r="Q706" s="18"/>
      <c r="R706" s="18"/>
      <c r="S706" s="18"/>
    </row>
    <row r="707" spans="1:19" x14ac:dyDescent="0.25">
      <c r="A707" s="9" t="s">
        <v>1386</v>
      </c>
      <c r="B707" s="17" t="s">
        <v>1389</v>
      </c>
      <c r="C707" s="18">
        <f t="shared" ref="C707:C737" si="48">ROUNDUP(SUM(D707+E707+F707+G707+H707+I707+J707+K707+M707+O707+P707+Q707+R707+S707),2)</f>
        <v>133729.25</v>
      </c>
      <c r="D707" s="18"/>
      <c r="E707" s="18">
        <v>133729.25</v>
      </c>
      <c r="F707" s="18"/>
      <c r="G707" s="18"/>
      <c r="H707" s="18"/>
      <c r="I707" s="18"/>
      <c r="J707" s="18"/>
      <c r="K707" s="18"/>
      <c r="L707" s="10"/>
      <c r="M707" s="18"/>
      <c r="N707" s="10"/>
      <c r="O707" s="18"/>
      <c r="P707" s="18"/>
      <c r="Q707" s="18"/>
      <c r="R707" s="18"/>
      <c r="S707" s="18"/>
    </row>
    <row r="708" spans="1:19" x14ac:dyDescent="0.25">
      <c r="A708" s="9" t="s">
        <v>1388</v>
      </c>
      <c r="B708" s="17" t="s">
        <v>1391</v>
      </c>
      <c r="C708" s="18">
        <f t="shared" si="48"/>
        <v>227455.04</v>
      </c>
      <c r="D708" s="18"/>
      <c r="E708" s="18">
        <v>227455.04</v>
      </c>
      <c r="F708" s="18"/>
      <c r="G708" s="18"/>
      <c r="H708" s="18"/>
      <c r="I708" s="18"/>
      <c r="J708" s="18"/>
      <c r="K708" s="18"/>
      <c r="L708" s="10"/>
      <c r="M708" s="18"/>
      <c r="N708" s="10"/>
      <c r="O708" s="18"/>
      <c r="P708" s="18"/>
      <c r="Q708" s="18"/>
      <c r="R708" s="18"/>
      <c r="S708" s="18"/>
    </row>
    <row r="709" spans="1:19" x14ac:dyDescent="0.25">
      <c r="A709" s="9" t="s">
        <v>1390</v>
      </c>
      <c r="B709" s="17" t="s">
        <v>1393</v>
      </c>
      <c r="C709" s="18">
        <f t="shared" si="48"/>
        <v>357617.41</v>
      </c>
      <c r="D709" s="18"/>
      <c r="E709" s="18">
        <v>357617.41</v>
      </c>
      <c r="F709" s="18"/>
      <c r="G709" s="18"/>
      <c r="H709" s="18"/>
      <c r="I709" s="18"/>
      <c r="J709" s="18"/>
      <c r="K709" s="18"/>
      <c r="L709" s="10"/>
      <c r="M709" s="18"/>
      <c r="N709" s="10"/>
      <c r="O709" s="18"/>
      <c r="P709" s="18"/>
      <c r="Q709" s="18"/>
      <c r="R709" s="18"/>
      <c r="S709" s="18"/>
    </row>
    <row r="710" spans="1:19" x14ac:dyDescent="0.25">
      <c r="A710" s="9" t="s">
        <v>1392</v>
      </c>
      <c r="B710" s="17" t="s">
        <v>1395</v>
      </c>
      <c r="C710" s="18">
        <f t="shared" si="48"/>
        <v>768260.03</v>
      </c>
      <c r="D710" s="18"/>
      <c r="E710" s="18">
        <v>768260.03</v>
      </c>
      <c r="F710" s="18"/>
      <c r="G710" s="18"/>
      <c r="H710" s="18"/>
      <c r="I710" s="18"/>
      <c r="J710" s="18"/>
      <c r="K710" s="18"/>
      <c r="L710" s="10"/>
      <c r="M710" s="18"/>
      <c r="N710" s="10"/>
      <c r="O710" s="18"/>
      <c r="P710" s="18"/>
      <c r="Q710" s="18"/>
      <c r="R710" s="18"/>
      <c r="S710" s="18"/>
    </row>
    <row r="711" spans="1:19" x14ac:dyDescent="0.25">
      <c r="A711" s="9" t="s">
        <v>1394</v>
      </c>
      <c r="B711" s="17" t="s">
        <v>1397</v>
      </c>
      <c r="C711" s="18">
        <f t="shared" si="48"/>
        <v>17352765.440000001</v>
      </c>
      <c r="D711" s="18">
        <v>46035.9</v>
      </c>
      <c r="E711" s="18"/>
      <c r="F711" s="18"/>
      <c r="G711" s="18">
        <v>10197939.439999999</v>
      </c>
      <c r="H711" s="18"/>
      <c r="I711" s="18"/>
      <c r="J711" s="18"/>
      <c r="K711" s="18"/>
      <c r="L711" s="10"/>
      <c r="M711" s="18"/>
      <c r="N711" s="10"/>
      <c r="O711" s="18"/>
      <c r="P711" s="18"/>
      <c r="Q711" s="18">
        <v>7108790.0999999996</v>
      </c>
      <c r="R711" s="18"/>
      <c r="S711" s="18"/>
    </row>
    <row r="712" spans="1:19" x14ac:dyDescent="0.25">
      <c r="A712" s="9" t="s">
        <v>1396</v>
      </c>
      <c r="B712" s="17" t="s">
        <v>1399</v>
      </c>
      <c r="C712" s="18">
        <f t="shared" si="48"/>
        <v>7315380.9800000004</v>
      </c>
      <c r="D712" s="18">
        <v>18390.79</v>
      </c>
      <c r="E712" s="18">
        <v>383157.47</v>
      </c>
      <c r="F712" s="18"/>
      <c r="G712" s="18">
        <v>3668696.71</v>
      </c>
      <c r="H712" s="18">
        <v>1144928.78</v>
      </c>
      <c r="I712" s="18">
        <v>732869.86</v>
      </c>
      <c r="J712" s="18"/>
      <c r="K712" s="18"/>
      <c r="L712" s="10"/>
      <c r="M712" s="18"/>
      <c r="N712" s="10"/>
      <c r="O712" s="18"/>
      <c r="P712" s="18">
        <v>1367337.37</v>
      </c>
      <c r="Q712" s="18"/>
      <c r="R712" s="18"/>
      <c r="S712" s="18"/>
    </row>
    <row r="713" spans="1:19" x14ac:dyDescent="0.25">
      <c r="A713" s="9" t="s">
        <v>1398</v>
      </c>
      <c r="B713" s="17" t="s">
        <v>1401</v>
      </c>
      <c r="C713" s="18">
        <f t="shared" si="48"/>
        <v>171699.22</v>
      </c>
      <c r="D713" s="18"/>
      <c r="E713" s="18">
        <v>171699.22</v>
      </c>
      <c r="F713" s="18"/>
      <c r="G713" s="18"/>
      <c r="H713" s="18"/>
      <c r="I713" s="18"/>
      <c r="J713" s="18"/>
      <c r="K713" s="18"/>
      <c r="L713" s="10"/>
      <c r="M713" s="18"/>
      <c r="N713" s="10"/>
      <c r="O713" s="18"/>
      <c r="P713" s="18"/>
      <c r="Q713" s="18"/>
      <c r="R713" s="18"/>
      <c r="S713" s="18"/>
    </row>
    <row r="714" spans="1:19" x14ac:dyDescent="0.25">
      <c r="A714" s="9" t="s">
        <v>1400</v>
      </c>
      <c r="B714" s="17" t="s">
        <v>1403</v>
      </c>
      <c r="C714" s="18">
        <f>ROUNDUP(SUM(D714+E714+F714+G714+H714+I714+J714+K714+M714+O714+P714+Q714+R714+S714),2)</f>
        <v>3063006.89</v>
      </c>
      <c r="D714" s="18">
        <v>8125.98</v>
      </c>
      <c r="E714" s="18"/>
      <c r="F714" s="18"/>
      <c r="G714" s="18">
        <v>3054880.91</v>
      </c>
      <c r="H714" s="18"/>
      <c r="I714" s="18"/>
      <c r="J714" s="18"/>
      <c r="K714" s="18"/>
      <c r="L714" s="10"/>
      <c r="M714" s="18"/>
      <c r="N714" s="10"/>
      <c r="O714" s="18"/>
      <c r="P714" s="18"/>
      <c r="Q714" s="18"/>
      <c r="R714" s="18"/>
      <c r="S714" s="18"/>
    </row>
    <row r="715" spans="1:19" x14ac:dyDescent="0.25">
      <c r="A715" s="9" t="s">
        <v>1402</v>
      </c>
      <c r="B715" s="17" t="s">
        <v>1405</v>
      </c>
      <c r="C715" s="18">
        <f t="shared" si="48"/>
        <v>871856.45</v>
      </c>
      <c r="D715" s="18"/>
      <c r="E715" s="18">
        <v>871856.45</v>
      </c>
      <c r="F715" s="18"/>
      <c r="G715" s="18"/>
      <c r="H715" s="18"/>
      <c r="I715" s="18"/>
      <c r="J715" s="18"/>
      <c r="K715" s="18"/>
      <c r="L715" s="10"/>
      <c r="M715" s="18"/>
      <c r="N715" s="10"/>
      <c r="O715" s="18"/>
      <c r="P715" s="18"/>
      <c r="Q715" s="18"/>
      <c r="R715" s="18"/>
      <c r="S715" s="18"/>
    </row>
    <row r="716" spans="1:19" x14ac:dyDescent="0.25">
      <c r="A716" s="9" t="s">
        <v>1404</v>
      </c>
      <c r="B716" s="17" t="s">
        <v>1407</v>
      </c>
      <c r="C716" s="18">
        <f t="shared" si="48"/>
        <v>38629204.149999999</v>
      </c>
      <c r="D716" s="18">
        <f>111673.06+2909.96+69458.14+18803.4</f>
        <v>202844.56</v>
      </c>
      <c r="E716" s="18"/>
      <c r="F716" s="18">
        <v>5245329.26</v>
      </c>
      <c r="G716" s="18">
        <v>7068947.0800000001</v>
      </c>
      <c r="H716" s="18"/>
      <c r="I716" s="18"/>
      <c r="J716" s="18"/>
      <c r="K716" s="18"/>
      <c r="L716" s="10"/>
      <c r="M716" s="18"/>
      <c r="N716" s="10"/>
      <c r="O716" s="18"/>
      <c r="P716" s="18"/>
      <c r="Q716" s="18"/>
      <c r="R716" s="18">
        <v>26112083.25</v>
      </c>
      <c r="S716" s="18"/>
    </row>
    <row r="717" spans="1:19" x14ac:dyDescent="0.25">
      <c r="A717" s="9" t="s">
        <v>1406</v>
      </c>
      <c r="B717" s="17" t="s">
        <v>1409</v>
      </c>
      <c r="C717" s="18">
        <f t="shared" si="48"/>
        <v>887668.81</v>
      </c>
      <c r="D717" s="18"/>
      <c r="E717" s="18">
        <v>887668.81</v>
      </c>
      <c r="F717" s="18"/>
      <c r="G717" s="18"/>
      <c r="H717" s="18"/>
      <c r="I717" s="18"/>
      <c r="J717" s="18"/>
      <c r="K717" s="18"/>
      <c r="L717" s="10"/>
      <c r="M717" s="18"/>
      <c r="N717" s="10"/>
      <c r="O717" s="18"/>
      <c r="P717" s="18"/>
      <c r="Q717" s="18"/>
      <c r="R717" s="18"/>
      <c r="S717" s="18"/>
    </row>
    <row r="718" spans="1:19" x14ac:dyDescent="0.25">
      <c r="A718" s="9" t="s">
        <v>1408</v>
      </c>
      <c r="B718" s="17" t="s">
        <v>1411</v>
      </c>
      <c r="C718" s="18">
        <f t="shared" si="48"/>
        <v>1078158.51</v>
      </c>
      <c r="D718" s="18">
        <v>2860.29</v>
      </c>
      <c r="E718" s="18"/>
      <c r="F718" s="18"/>
      <c r="G718" s="18"/>
      <c r="H718" s="18"/>
      <c r="I718" s="18"/>
      <c r="J718" s="18">
        <v>1075298.22</v>
      </c>
      <c r="K718" s="18"/>
      <c r="L718" s="10"/>
      <c r="M718" s="18"/>
      <c r="N718" s="10"/>
      <c r="O718" s="18"/>
      <c r="P718" s="18"/>
      <c r="Q718" s="18"/>
      <c r="R718" s="18"/>
      <c r="S718" s="18"/>
    </row>
    <row r="719" spans="1:19" x14ac:dyDescent="0.25">
      <c r="A719" s="9" t="s">
        <v>1410</v>
      </c>
      <c r="B719" s="17" t="s">
        <v>1413</v>
      </c>
      <c r="C719" s="18">
        <f t="shared" si="48"/>
        <v>820267.21</v>
      </c>
      <c r="D719" s="18"/>
      <c r="E719" s="18">
        <v>820267.21</v>
      </c>
      <c r="F719" s="18"/>
      <c r="G719" s="18"/>
      <c r="H719" s="18"/>
      <c r="I719" s="18"/>
      <c r="J719" s="18"/>
      <c r="K719" s="18"/>
      <c r="L719" s="10"/>
      <c r="M719" s="18"/>
      <c r="N719" s="10"/>
      <c r="O719" s="18"/>
      <c r="P719" s="18"/>
      <c r="Q719" s="18"/>
      <c r="R719" s="18"/>
      <c r="S719" s="18"/>
    </row>
    <row r="720" spans="1:19" x14ac:dyDescent="0.25">
      <c r="A720" s="9" t="s">
        <v>1412</v>
      </c>
      <c r="B720" s="17" t="s">
        <v>1415</v>
      </c>
      <c r="C720" s="18">
        <f t="shared" si="48"/>
        <v>818758.9</v>
      </c>
      <c r="D720" s="18"/>
      <c r="E720" s="18">
        <v>818758.9</v>
      </c>
      <c r="F720" s="18"/>
      <c r="G720" s="18"/>
      <c r="H720" s="18"/>
      <c r="I720" s="18"/>
      <c r="J720" s="18"/>
      <c r="K720" s="18"/>
      <c r="L720" s="10"/>
      <c r="M720" s="18"/>
      <c r="N720" s="10"/>
      <c r="O720" s="18"/>
      <c r="P720" s="18"/>
      <c r="Q720" s="18"/>
      <c r="R720" s="18"/>
      <c r="S720" s="18"/>
    </row>
    <row r="721" spans="1:19" x14ac:dyDescent="0.25">
      <c r="A721" s="9" t="s">
        <v>1414</v>
      </c>
      <c r="B721" s="17" t="s">
        <v>1417</v>
      </c>
      <c r="C721" s="18">
        <f t="shared" si="48"/>
        <v>7435307.0300000003</v>
      </c>
      <c r="D721" s="18">
        <v>89602.91</v>
      </c>
      <c r="E721" s="18"/>
      <c r="F721" s="18">
        <v>2744901.02</v>
      </c>
      <c r="G721" s="18">
        <v>4600803.0999999996</v>
      </c>
      <c r="H721" s="18"/>
      <c r="I721" s="18"/>
      <c r="J721" s="18"/>
      <c r="K721" s="18"/>
      <c r="L721" s="10"/>
      <c r="M721" s="18"/>
      <c r="N721" s="10"/>
      <c r="O721" s="18"/>
      <c r="P721" s="18"/>
      <c r="Q721" s="18"/>
      <c r="R721" s="18"/>
      <c r="S721" s="18"/>
    </row>
    <row r="722" spans="1:19" x14ac:dyDescent="0.25">
      <c r="A722" s="9" t="s">
        <v>1416</v>
      </c>
      <c r="B722" s="17" t="s">
        <v>1419</v>
      </c>
      <c r="C722" s="18">
        <f>ROUNDUP(SUM(D722+E722+F722+G722+H722+I722+J722+K722+M722+O722+P722+Q722+R722+S722),2)</f>
        <v>2837760.2</v>
      </c>
      <c r="D722" s="18">
        <v>34200.47</v>
      </c>
      <c r="E722" s="18"/>
      <c r="F722" s="18"/>
      <c r="G722" s="18">
        <v>2803559.73</v>
      </c>
      <c r="H722" s="18"/>
      <c r="I722" s="18"/>
      <c r="J722" s="18"/>
      <c r="K722" s="18"/>
      <c r="L722" s="10"/>
      <c r="M722" s="18"/>
      <c r="N722" s="10"/>
      <c r="O722" s="18"/>
      <c r="P722" s="18"/>
      <c r="Q722" s="18"/>
      <c r="R722" s="18"/>
      <c r="S722" s="18"/>
    </row>
    <row r="723" spans="1:19" x14ac:dyDescent="0.25">
      <c r="A723" s="9" t="s">
        <v>1418</v>
      </c>
      <c r="B723" s="17" t="s">
        <v>1421</v>
      </c>
      <c r="C723" s="18">
        <f t="shared" si="48"/>
        <v>858083.03</v>
      </c>
      <c r="D723" s="18"/>
      <c r="E723" s="18">
        <v>858083.03</v>
      </c>
      <c r="F723" s="18"/>
      <c r="G723" s="18"/>
      <c r="H723" s="18"/>
      <c r="I723" s="18"/>
      <c r="J723" s="18"/>
      <c r="K723" s="18"/>
      <c r="L723" s="10"/>
      <c r="M723" s="18"/>
      <c r="N723" s="10"/>
      <c r="O723" s="18"/>
      <c r="P723" s="18"/>
      <c r="Q723" s="18"/>
      <c r="R723" s="18"/>
      <c r="S723" s="18"/>
    </row>
    <row r="724" spans="1:19" x14ac:dyDescent="0.25">
      <c r="A724" s="9" t="s">
        <v>1420</v>
      </c>
      <c r="B724" s="17" t="s">
        <v>1423</v>
      </c>
      <c r="C724" s="18">
        <f t="shared" si="48"/>
        <v>2999686.44</v>
      </c>
      <c r="D724" s="18">
        <v>36153.93</v>
      </c>
      <c r="E724" s="18"/>
      <c r="F724" s="18"/>
      <c r="G724" s="18">
        <v>2963532.51</v>
      </c>
      <c r="H724" s="18"/>
      <c r="I724" s="18"/>
      <c r="J724" s="18"/>
      <c r="K724" s="18"/>
      <c r="L724" s="10"/>
      <c r="M724" s="18"/>
      <c r="N724" s="10"/>
      <c r="O724" s="18"/>
      <c r="P724" s="18"/>
      <c r="Q724" s="18"/>
      <c r="R724" s="18"/>
      <c r="S724" s="18"/>
    </row>
    <row r="725" spans="1:19" x14ac:dyDescent="0.25">
      <c r="A725" s="9" t="s">
        <v>1422</v>
      </c>
      <c r="B725" s="17" t="s">
        <v>1425</v>
      </c>
      <c r="C725" s="18">
        <f t="shared" si="48"/>
        <v>17487585.52</v>
      </c>
      <c r="D725" s="18">
        <v>83712.62</v>
      </c>
      <c r="E725" s="18"/>
      <c r="F725" s="18">
        <v>2645518.09</v>
      </c>
      <c r="G725" s="18"/>
      <c r="H725" s="18">
        <v>1391195.17</v>
      </c>
      <c r="I725" s="18">
        <v>546060.96</v>
      </c>
      <c r="J725" s="18">
        <v>1561624.52</v>
      </c>
      <c r="K725" s="18"/>
      <c r="L725" s="10"/>
      <c r="M725" s="18"/>
      <c r="N725" s="10" t="s">
        <v>355</v>
      </c>
      <c r="O725" s="18">
        <v>11259474.16</v>
      </c>
      <c r="P725" s="18"/>
      <c r="Q725" s="18"/>
      <c r="R725" s="18"/>
      <c r="S725" s="18"/>
    </row>
    <row r="726" spans="1:19" x14ac:dyDescent="0.25">
      <c r="A726" s="9" t="s">
        <v>1424</v>
      </c>
      <c r="B726" s="17" t="s">
        <v>1427</v>
      </c>
      <c r="C726" s="18">
        <f t="shared" si="48"/>
        <v>206277.36</v>
      </c>
      <c r="D726" s="18"/>
      <c r="E726" s="18">
        <v>206277.36</v>
      </c>
      <c r="F726" s="18"/>
      <c r="G726" s="18"/>
      <c r="H726" s="18"/>
      <c r="I726" s="18"/>
      <c r="J726" s="18"/>
      <c r="K726" s="18"/>
      <c r="L726" s="10"/>
      <c r="M726" s="18"/>
      <c r="N726" s="10"/>
      <c r="O726" s="18"/>
      <c r="P726" s="18"/>
      <c r="Q726" s="18"/>
      <c r="R726" s="18"/>
      <c r="S726" s="18"/>
    </row>
    <row r="727" spans="1:19" x14ac:dyDescent="0.25">
      <c r="A727" s="9" t="s">
        <v>1426</v>
      </c>
      <c r="B727" s="17" t="s">
        <v>1429</v>
      </c>
      <c r="C727" s="18">
        <f t="shared" si="48"/>
        <v>817788.53</v>
      </c>
      <c r="D727" s="18"/>
      <c r="E727" s="18">
        <v>817788.53</v>
      </c>
      <c r="F727" s="18"/>
      <c r="G727" s="18"/>
      <c r="H727" s="18"/>
      <c r="I727" s="18"/>
      <c r="J727" s="18"/>
      <c r="K727" s="18"/>
      <c r="L727" s="10"/>
      <c r="M727" s="18"/>
      <c r="N727" s="10"/>
      <c r="O727" s="18"/>
      <c r="P727" s="18"/>
      <c r="Q727" s="18"/>
      <c r="R727" s="18"/>
      <c r="S727" s="18"/>
    </row>
    <row r="728" spans="1:19" x14ac:dyDescent="0.25">
      <c r="A728" s="9" t="s">
        <v>1428</v>
      </c>
      <c r="B728" s="17" t="s">
        <v>1431</v>
      </c>
      <c r="C728" s="18">
        <f t="shared" si="48"/>
        <v>8039863.7800000003</v>
      </c>
      <c r="D728" s="18">
        <v>21329.3</v>
      </c>
      <c r="E728" s="18"/>
      <c r="F728" s="18">
        <v>3489026.85</v>
      </c>
      <c r="G728" s="18"/>
      <c r="H728" s="18"/>
      <c r="I728" s="18"/>
      <c r="J728" s="18"/>
      <c r="K728" s="18"/>
      <c r="L728" s="10"/>
      <c r="M728" s="18"/>
      <c r="N728" s="10"/>
      <c r="O728" s="18"/>
      <c r="P728" s="18"/>
      <c r="Q728" s="18">
        <v>4529507.63</v>
      </c>
      <c r="R728" s="18"/>
      <c r="S728" s="18"/>
    </row>
    <row r="729" spans="1:19" x14ac:dyDescent="0.25">
      <c r="A729" s="9" t="s">
        <v>1430</v>
      </c>
      <c r="B729" s="17" t="s">
        <v>1433</v>
      </c>
      <c r="C729" s="18">
        <f>ROUNDUP(SUM(D729+E729+F729+G729+H729+I729+J729+K729+M729+O729+P729+Q729+R729+S729),2)</f>
        <v>10485012.33</v>
      </c>
      <c r="D729" s="18">
        <v>50191.48</v>
      </c>
      <c r="E729" s="18"/>
      <c r="F729" s="18"/>
      <c r="G729" s="18"/>
      <c r="H729" s="18"/>
      <c r="I729" s="18"/>
      <c r="J729" s="18">
        <v>418441.11</v>
      </c>
      <c r="K729" s="18"/>
      <c r="L729" s="10"/>
      <c r="M729" s="18"/>
      <c r="N729" s="10" t="s">
        <v>355</v>
      </c>
      <c r="O729" s="18">
        <v>4303434.55</v>
      </c>
      <c r="P729" s="18"/>
      <c r="Q729" s="18">
        <v>5712945.1900000004</v>
      </c>
      <c r="R729" s="18"/>
      <c r="S729" s="18"/>
    </row>
    <row r="730" spans="1:19" x14ac:dyDescent="0.25">
      <c r="A730" s="9" t="s">
        <v>1432</v>
      </c>
      <c r="B730" s="17" t="s">
        <v>1435</v>
      </c>
      <c r="C730" s="18">
        <f>ROUNDUP(SUM(D730+E730+F730+G730+H730+I730+J730+K730+M730+O730+P730+Q730+R730+S730),2)</f>
        <v>30673014.940000001</v>
      </c>
      <c r="D730" s="18">
        <v>146830.95000000001</v>
      </c>
      <c r="E730" s="18"/>
      <c r="F730" s="18"/>
      <c r="G730" s="18"/>
      <c r="H730" s="18">
        <v>622723.98</v>
      </c>
      <c r="I730" s="18">
        <v>390641.62</v>
      </c>
      <c r="J730" s="18">
        <v>862041.08</v>
      </c>
      <c r="K730" s="18"/>
      <c r="L730" s="10"/>
      <c r="M730" s="18"/>
      <c r="N730" s="10" t="s">
        <v>355</v>
      </c>
      <c r="O730" s="18">
        <v>15653197.4</v>
      </c>
      <c r="P730" s="18"/>
      <c r="Q730" s="18">
        <v>12997579.91</v>
      </c>
      <c r="R730" s="18"/>
      <c r="S730" s="18"/>
    </row>
    <row r="731" spans="1:19" x14ac:dyDescent="0.25">
      <c r="A731" s="9" t="s">
        <v>1434</v>
      </c>
      <c r="B731" s="17" t="s">
        <v>1437</v>
      </c>
      <c r="C731" s="18">
        <f t="shared" si="48"/>
        <v>15420896.67</v>
      </c>
      <c r="D731" s="18">
        <v>40910.76</v>
      </c>
      <c r="E731" s="18"/>
      <c r="F731" s="18"/>
      <c r="G731" s="18"/>
      <c r="H731" s="18">
        <v>1888293.08</v>
      </c>
      <c r="I731" s="18">
        <v>752456.47</v>
      </c>
      <c r="J731" s="18">
        <v>2037308.91</v>
      </c>
      <c r="K731" s="18"/>
      <c r="L731" s="10"/>
      <c r="M731" s="18"/>
      <c r="N731" s="10" t="s">
        <v>355</v>
      </c>
      <c r="O731" s="18">
        <v>10701927.449999999</v>
      </c>
      <c r="P731" s="18"/>
      <c r="Q731" s="18"/>
      <c r="R731" s="18"/>
      <c r="S731" s="18"/>
    </row>
    <row r="732" spans="1:19" x14ac:dyDescent="0.25">
      <c r="A732" s="9" t="s">
        <v>1436</v>
      </c>
      <c r="B732" s="17" t="s">
        <v>1439</v>
      </c>
      <c r="C732" s="18">
        <f t="shared" si="48"/>
        <v>165416.88</v>
      </c>
      <c r="D732" s="18"/>
      <c r="E732" s="18">
        <v>165416.88</v>
      </c>
      <c r="F732" s="18"/>
      <c r="G732" s="18"/>
      <c r="H732" s="18"/>
      <c r="I732" s="18"/>
      <c r="J732" s="18"/>
      <c r="K732" s="18"/>
      <c r="L732" s="10"/>
      <c r="M732" s="18"/>
      <c r="N732" s="10"/>
      <c r="O732" s="18"/>
      <c r="P732" s="18"/>
      <c r="Q732" s="18"/>
      <c r="R732" s="18"/>
      <c r="S732" s="18"/>
    </row>
    <row r="733" spans="1:19" x14ac:dyDescent="0.25">
      <c r="A733" s="9" t="s">
        <v>1438</v>
      </c>
      <c r="B733" s="17" t="s">
        <v>1441</v>
      </c>
      <c r="C733" s="18">
        <f t="shared" si="48"/>
        <v>165897.14000000001</v>
      </c>
      <c r="D733" s="18"/>
      <c r="E733" s="18">
        <v>165897.14000000001</v>
      </c>
      <c r="F733" s="18"/>
      <c r="G733" s="18"/>
      <c r="H733" s="18"/>
      <c r="I733" s="18"/>
      <c r="J733" s="18"/>
      <c r="K733" s="18"/>
      <c r="L733" s="10"/>
      <c r="M733" s="18"/>
      <c r="N733" s="10"/>
      <c r="O733" s="18"/>
      <c r="P733" s="18"/>
      <c r="Q733" s="18"/>
      <c r="R733" s="18"/>
      <c r="S733" s="18"/>
    </row>
    <row r="734" spans="1:19" x14ac:dyDescent="0.25">
      <c r="A734" s="9" t="s">
        <v>1440</v>
      </c>
      <c r="B734" s="17" t="s">
        <v>1443</v>
      </c>
      <c r="C734" s="18">
        <f t="shared" si="48"/>
        <v>166249.88</v>
      </c>
      <c r="D734" s="18"/>
      <c r="E734" s="18">
        <v>166249.88</v>
      </c>
      <c r="F734" s="18"/>
      <c r="G734" s="18"/>
      <c r="H734" s="18"/>
      <c r="I734" s="18"/>
      <c r="J734" s="18"/>
      <c r="K734" s="18"/>
      <c r="L734" s="10"/>
      <c r="M734" s="18"/>
      <c r="N734" s="10"/>
      <c r="O734" s="18"/>
      <c r="P734" s="18"/>
      <c r="Q734" s="18"/>
      <c r="R734" s="18"/>
      <c r="S734" s="18"/>
    </row>
    <row r="735" spans="1:19" x14ac:dyDescent="0.25">
      <c r="A735" s="9" t="s">
        <v>1442</v>
      </c>
      <c r="B735" s="17" t="s">
        <v>1445</v>
      </c>
      <c r="C735" s="18">
        <f t="shared" si="48"/>
        <v>5621139.9800000004</v>
      </c>
      <c r="D735" s="18">
        <v>10172.76</v>
      </c>
      <c r="E735" s="18">
        <v>923059.69</v>
      </c>
      <c r="F735" s="18"/>
      <c r="G735" s="18"/>
      <c r="H735" s="18"/>
      <c r="I735" s="18"/>
      <c r="J735" s="18"/>
      <c r="K735" s="18"/>
      <c r="L735" s="10"/>
      <c r="M735" s="18"/>
      <c r="N735" s="10" t="s">
        <v>355</v>
      </c>
      <c r="O735" s="18">
        <v>4687907.53</v>
      </c>
      <c r="P735" s="18"/>
      <c r="Q735" s="18"/>
      <c r="R735" s="18"/>
      <c r="S735" s="18"/>
    </row>
    <row r="736" spans="1:19" x14ac:dyDescent="0.25">
      <c r="A736" s="9" t="s">
        <v>1444</v>
      </c>
      <c r="B736" s="17" t="s">
        <v>1447</v>
      </c>
      <c r="C736" s="18">
        <f t="shared" si="48"/>
        <v>701715.91</v>
      </c>
      <c r="D736" s="18"/>
      <c r="E736" s="18">
        <v>701715.91</v>
      </c>
      <c r="F736" s="18"/>
      <c r="G736" s="18"/>
      <c r="H736" s="18"/>
      <c r="I736" s="18"/>
      <c r="J736" s="18"/>
      <c r="K736" s="18"/>
      <c r="L736" s="10"/>
      <c r="M736" s="18"/>
      <c r="N736" s="10"/>
      <c r="O736" s="18"/>
      <c r="P736" s="18"/>
      <c r="Q736" s="18"/>
      <c r="R736" s="18"/>
      <c r="S736" s="18"/>
    </row>
    <row r="737" spans="1:19" x14ac:dyDescent="0.25">
      <c r="A737" s="9" t="s">
        <v>1446</v>
      </c>
      <c r="B737" s="17" t="s">
        <v>1449</v>
      </c>
      <c r="C737" s="18">
        <f t="shared" si="48"/>
        <v>259521.42</v>
      </c>
      <c r="D737" s="18"/>
      <c r="E737" s="18">
        <v>259521.42</v>
      </c>
      <c r="F737" s="18"/>
      <c r="G737" s="18"/>
      <c r="H737" s="18"/>
      <c r="I737" s="18"/>
      <c r="J737" s="18"/>
      <c r="K737" s="18"/>
      <c r="L737" s="10"/>
      <c r="M737" s="18"/>
      <c r="N737" s="10"/>
      <c r="O737" s="18"/>
      <c r="P737" s="18"/>
      <c r="Q737" s="18"/>
      <c r="R737" s="18"/>
      <c r="S737" s="18"/>
    </row>
    <row r="738" spans="1:19" x14ac:dyDescent="0.25">
      <c r="A738" s="9" t="s">
        <v>1448</v>
      </c>
      <c r="B738" s="17" t="s">
        <v>1451</v>
      </c>
      <c r="C738" s="18">
        <f>ROUNDUP(SUM(D738+E738+F738+G738+H738+I738+J738+K738+M738+O738+P738+Q738+R738+S738),2)</f>
        <v>554632.53</v>
      </c>
      <c r="D738" s="18">
        <v>30087.02</v>
      </c>
      <c r="E738" s="18"/>
      <c r="F738" s="18"/>
      <c r="G738" s="18"/>
      <c r="H738" s="18"/>
      <c r="I738" s="18"/>
      <c r="J738" s="18"/>
      <c r="K738" s="18"/>
      <c r="L738" s="10"/>
      <c r="M738" s="18"/>
      <c r="N738" s="10" t="s">
        <v>355</v>
      </c>
      <c r="O738" s="18">
        <v>524545.51</v>
      </c>
      <c r="P738" s="18"/>
      <c r="Q738" s="18"/>
      <c r="R738" s="18"/>
      <c r="S738" s="18"/>
    </row>
    <row r="739" spans="1:19" x14ac:dyDescent="0.25">
      <c r="A739" s="9" t="s">
        <v>1450</v>
      </c>
      <c r="B739" s="17" t="s">
        <v>1453</v>
      </c>
      <c r="C739" s="18">
        <f t="shared" ref="C739:C761" si="49">ROUNDUP(SUM(D739+E739+F739+G739+H739+I739+J739+K739+M739+O739+P739+Q739+R739+S739),2)</f>
        <v>9584213.6699999999</v>
      </c>
      <c r="D739" s="18">
        <v>25426.37</v>
      </c>
      <c r="E739" s="18"/>
      <c r="F739" s="18">
        <v>9558787.3000000007</v>
      </c>
      <c r="G739" s="18"/>
      <c r="H739" s="18"/>
      <c r="I739" s="18"/>
      <c r="J739" s="18"/>
      <c r="K739" s="18"/>
      <c r="L739" s="10"/>
      <c r="M739" s="18"/>
      <c r="N739" s="10"/>
      <c r="O739" s="18"/>
      <c r="P739" s="18"/>
      <c r="Q739" s="18"/>
      <c r="R739" s="18"/>
      <c r="S739" s="18"/>
    </row>
    <row r="740" spans="1:19" x14ac:dyDescent="0.25">
      <c r="A740" s="9" t="s">
        <v>1452</v>
      </c>
      <c r="B740" s="17" t="s">
        <v>1455</v>
      </c>
      <c r="C740" s="18">
        <f t="shared" si="49"/>
        <v>368121.92</v>
      </c>
      <c r="D740" s="18"/>
      <c r="E740" s="18">
        <v>368121.92</v>
      </c>
      <c r="F740" s="18"/>
      <c r="G740" s="18"/>
      <c r="H740" s="18"/>
      <c r="I740" s="18"/>
      <c r="J740" s="18"/>
      <c r="K740" s="18"/>
      <c r="L740" s="10"/>
      <c r="M740" s="18"/>
      <c r="N740" s="10"/>
      <c r="O740" s="18"/>
      <c r="P740" s="18"/>
      <c r="Q740" s="18"/>
      <c r="R740" s="18"/>
      <c r="S740" s="18"/>
    </row>
    <row r="741" spans="1:19" x14ac:dyDescent="0.25">
      <c r="A741" s="9" t="s">
        <v>1454</v>
      </c>
      <c r="B741" s="17" t="s">
        <v>1457</v>
      </c>
      <c r="C741" s="18">
        <f t="shared" si="49"/>
        <v>555014.02</v>
      </c>
      <c r="D741" s="18"/>
      <c r="E741" s="18">
        <v>555014.02</v>
      </c>
      <c r="F741" s="18"/>
      <c r="G741" s="18"/>
      <c r="H741" s="18"/>
      <c r="I741" s="18"/>
      <c r="J741" s="18"/>
      <c r="K741" s="18"/>
      <c r="L741" s="10"/>
      <c r="M741" s="18"/>
      <c r="N741" s="10"/>
      <c r="O741" s="18"/>
      <c r="P741" s="18"/>
      <c r="Q741" s="18"/>
      <c r="R741" s="18"/>
      <c r="S741" s="18"/>
    </row>
    <row r="742" spans="1:19" x14ac:dyDescent="0.25">
      <c r="A742" s="9" t="s">
        <v>1456</v>
      </c>
      <c r="B742" s="17" t="s">
        <v>1459</v>
      </c>
      <c r="C742" s="18">
        <f t="shared" si="49"/>
        <v>607938.96</v>
      </c>
      <c r="D742" s="18"/>
      <c r="E742" s="18">
        <v>607938.96</v>
      </c>
      <c r="F742" s="18"/>
      <c r="G742" s="18"/>
      <c r="H742" s="18"/>
      <c r="I742" s="18"/>
      <c r="J742" s="18"/>
      <c r="K742" s="18"/>
      <c r="L742" s="10"/>
      <c r="M742" s="18"/>
      <c r="N742" s="10"/>
      <c r="O742" s="18"/>
      <c r="P742" s="18"/>
      <c r="Q742" s="18"/>
      <c r="R742" s="18"/>
      <c r="S742" s="18"/>
    </row>
    <row r="743" spans="1:19" x14ac:dyDescent="0.25">
      <c r="A743" s="9" t="s">
        <v>1458</v>
      </c>
      <c r="B743" s="17" t="s">
        <v>1461</v>
      </c>
      <c r="C743" s="18">
        <f t="shared" si="49"/>
        <v>34745701.740000002</v>
      </c>
      <c r="D743" s="18">
        <v>92178.36</v>
      </c>
      <c r="E743" s="18"/>
      <c r="F743" s="18">
        <v>4247456.13</v>
      </c>
      <c r="G743" s="18">
        <v>4753925.93</v>
      </c>
      <c r="H743" s="18">
        <v>1047313.13</v>
      </c>
      <c r="I743" s="18">
        <v>485324.89</v>
      </c>
      <c r="J743" s="18">
        <v>1401533.75</v>
      </c>
      <c r="K743" s="18"/>
      <c r="L743" s="10"/>
      <c r="M743" s="18"/>
      <c r="N743" s="10" t="s">
        <v>355</v>
      </c>
      <c r="O743" s="18">
        <v>12399132.960000001</v>
      </c>
      <c r="P743" s="18"/>
      <c r="Q743" s="18">
        <v>10318836.59</v>
      </c>
      <c r="R743" s="18"/>
      <c r="S743" s="18"/>
    </row>
    <row r="744" spans="1:19" x14ac:dyDescent="0.25">
      <c r="A744" s="9" t="s">
        <v>1460</v>
      </c>
      <c r="B744" s="17" t="s">
        <v>1463</v>
      </c>
      <c r="C744" s="18">
        <f t="shared" si="49"/>
        <v>1087956.1399999999</v>
      </c>
      <c r="D744" s="18"/>
      <c r="E744" s="18">
        <v>1087956.1399999999</v>
      </c>
      <c r="F744" s="18"/>
      <c r="G744" s="18"/>
      <c r="H744" s="18"/>
      <c r="I744" s="18"/>
      <c r="J744" s="18"/>
      <c r="K744" s="18"/>
      <c r="L744" s="10"/>
      <c r="M744" s="18"/>
      <c r="N744" s="10"/>
      <c r="O744" s="18"/>
      <c r="P744" s="18"/>
      <c r="Q744" s="18"/>
      <c r="R744" s="18"/>
      <c r="S744" s="18"/>
    </row>
    <row r="745" spans="1:19" x14ac:dyDescent="0.25">
      <c r="A745" s="9" t="s">
        <v>1462</v>
      </c>
      <c r="B745" s="17" t="s">
        <v>1465</v>
      </c>
      <c r="C745" s="18">
        <f t="shared" si="49"/>
        <v>9381734.8599999994</v>
      </c>
      <c r="D745" s="18">
        <v>24889.21</v>
      </c>
      <c r="E745" s="18"/>
      <c r="F745" s="18"/>
      <c r="G745" s="18"/>
      <c r="H745" s="18"/>
      <c r="I745" s="18"/>
      <c r="J745" s="18"/>
      <c r="K745" s="18"/>
      <c r="L745" s="10"/>
      <c r="M745" s="18"/>
      <c r="N745" s="10" t="s">
        <v>355</v>
      </c>
      <c r="O745" s="18">
        <v>5557370.0099999998</v>
      </c>
      <c r="P745" s="18"/>
      <c r="Q745" s="18">
        <v>3799475.64</v>
      </c>
      <c r="R745" s="18"/>
      <c r="S745" s="18"/>
    </row>
    <row r="746" spans="1:19" x14ac:dyDescent="0.25">
      <c r="A746" s="9" t="s">
        <v>1464</v>
      </c>
      <c r="B746" s="17" t="s">
        <v>1467</v>
      </c>
      <c r="C746" s="18">
        <f t="shared" si="49"/>
        <v>693380.87</v>
      </c>
      <c r="D746" s="18"/>
      <c r="E746" s="18">
        <v>693380.87</v>
      </c>
      <c r="F746" s="18"/>
      <c r="G746" s="18"/>
      <c r="H746" s="18"/>
      <c r="I746" s="18"/>
      <c r="J746" s="18"/>
      <c r="K746" s="18"/>
      <c r="L746" s="10"/>
      <c r="M746" s="18"/>
      <c r="N746" s="10"/>
      <c r="O746" s="18"/>
      <c r="P746" s="18"/>
      <c r="Q746" s="18"/>
      <c r="R746" s="18"/>
      <c r="S746" s="18"/>
    </row>
    <row r="747" spans="1:19" x14ac:dyDescent="0.25">
      <c r="A747" s="9" t="s">
        <v>1466</v>
      </c>
      <c r="B747" s="17" t="s">
        <v>1469</v>
      </c>
      <c r="C747" s="18">
        <f t="shared" si="49"/>
        <v>6090197.6500000004</v>
      </c>
      <c r="D747" s="18">
        <v>16156.94</v>
      </c>
      <c r="E747" s="18"/>
      <c r="F747" s="18"/>
      <c r="G747" s="18">
        <v>6074040.71</v>
      </c>
      <c r="H747" s="18"/>
      <c r="I747" s="18"/>
      <c r="J747" s="18"/>
      <c r="K747" s="18"/>
      <c r="L747" s="10"/>
      <c r="M747" s="18"/>
      <c r="N747" s="10"/>
      <c r="O747" s="18"/>
      <c r="P747" s="18"/>
      <c r="Q747" s="18"/>
      <c r="R747" s="18"/>
      <c r="S747" s="18"/>
    </row>
    <row r="748" spans="1:19" x14ac:dyDescent="0.25">
      <c r="A748" s="9" t="s">
        <v>1468</v>
      </c>
      <c r="B748" s="17" t="s">
        <v>1471</v>
      </c>
      <c r="C748" s="18">
        <f t="shared" si="49"/>
        <v>786839.41</v>
      </c>
      <c r="D748" s="18"/>
      <c r="E748" s="18">
        <v>786839.41</v>
      </c>
      <c r="F748" s="18"/>
      <c r="G748" s="18"/>
      <c r="H748" s="18"/>
      <c r="I748" s="18"/>
      <c r="J748" s="18"/>
      <c r="K748" s="18"/>
      <c r="L748" s="10"/>
      <c r="M748" s="18"/>
      <c r="N748" s="10"/>
      <c r="O748" s="18"/>
      <c r="P748" s="18"/>
      <c r="Q748" s="18"/>
      <c r="R748" s="18"/>
      <c r="S748" s="18"/>
    </row>
    <row r="749" spans="1:19" x14ac:dyDescent="0.25">
      <c r="A749" s="9" t="s">
        <v>1470</v>
      </c>
      <c r="B749" s="17" t="s">
        <v>1473</v>
      </c>
      <c r="C749" s="18">
        <f t="shared" si="49"/>
        <v>393285.49</v>
      </c>
      <c r="D749" s="18"/>
      <c r="E749" s="18">
        <v>393285.49</v>
      </c>
      <c r="F749" s="18"/>
      <c r="G749" s="18"/>
      <c r="H749" s="18"/>
      <c r="I749" s="18"/>
      <c r="J749" s="18"/>
      <c r="K749" s="18"/>
      <c r="L749" s="10"/>
      <c r="M749" s="18"/>
      <c r="N749" s="10"/>
      <c r="O749" s="18"/>
      <c r="P749" s="18"/>
      <c r="Q749" s="18"/>
      <c r="R749" s="18"/>
      <c r="S749" s="18"/>
    </row>
    <row r="750" spans="1:19" x14ac:dyDescent="0.25">
      <c r="A750" s="9" t="s">
        <v>1472</v>
      </c>
      <c r="B750" s="17" t="s">
        <v>1475</v>
      </c>
      <c r="C750" s="18">
        <f t="shared" si="49"/>
        <v>197079.53</v>
      </c>
      <c r="D750" s="18"/>
      <c r="E750" s="18">
        <v>197079.53</v>
      </c>
      <c r="F750" s="18"/>
      <c r="G750" s="18"/>
      <c r="H750" s="18"/>
      <c r="I750" s="18"/>
      <c r="J750" s="18"/>
      <c r="K750" s="18"/>
      <c r="L750" s="10"/>
      <c r="M750" s="18"/>
      <c r="N750" s="10"/>
      <c r="O750" s="18"/>
      <c r="P750" s="18"/>
      <c r="Q750" s="18"/>
      <c r="R750" s="18"/>
      <c r="S750" s="18"/>
    </row>
    <row r="751" spans="1:19" x14ac:dyDescent="0.25">
      <c r="A751" s="9" t="s">
        <v>1474</v>
      </c>
      <c r="B751" s="17" t="s">
        <v>1477</v>
      </c>
      <c r="C751" s="18">
        <f t="shared" si="49"/>
        <v>1136307.5</v>
      </c>
      <c r="D751" s="18"/>
      <c r="E751" s="18">
        <v>1136307.5</v>
      </c>
      <c r="F751" s="18"/>
      <c r="G751" s="18"/>
      <c r="H751" s="18"/>
      <c r="I751" s="18"/>
      <c r="J751" s="18"/>
      <c r="K751" s="18"/>
      <c r="L751" s="10"/>
      <c r="M751" s="18"/>
      <c r="N751" s="10"/>
      <c r="O751" s="18"/>
      <c r="P751" s="18"/>
      <c r="Q751" s="18"/>
      <c r="R751" s="18"/>
      <c r="S751" s="18"/>
    </row>
    <row r="752" spans="1:19" x14ac:dyDescent="0.25">
      <c r="A752" s="9" t="s">
        <v>1476</v>
      </c>
      <c r="B752" s="17" t="s">
        <v>1479</v>
      </c>
      <c r="C752" s="18">
        <f t="shared" si="49"/>
        <v>3809760.4</v>
      </c>
      <c r="D752" s="18">
        <f>63684.68+21825.57</f>
        <v>85510.25</v>
      </c>
      <c r="E752" s="18"/>
      <c r="F752" s="18">
        <v>3724250.15</v>
      </c>
      <c r="G752" s="18"/>
      <c r="H752" s="18"/>
      <c r="I752" s="18"/>
      <c r="J752" s="18"/>
      <c r="K752" s="18"/>
      <c r="L752" s="10"/>
      <c r="M752" s="18"/>
      <c r="N752" s="10"/>
      <c r="O752" s="18"/>
      <c r="P752" s="18"/>
      <c r="Q752" s="18"/>
      <c r="R752" s="18"/>
      <c r="S752" s="18"/>
    </row>
    <row r="753" spans="1:19" x14ac:dyDescent="0.25">
      <c r="A753" s="9" t="s">
        <v>1478</v>
      </c>
      <c r="B753" s="17" t="s">
        <v>1481</v>
      </c>
      <c r="C753" s="18">
        <f t="shared" si="49"/>
        <v>1427003.17</v>
      </c>
      <c r="D753" s="18"/>
      <c r="E753" s="18">
        <v>1427003.17</v>
      </c>
      <c r="F753" s="18"/>
      <c r="G753" s="18"/>
      <c r="H753" s="18"/>
      <c r="I753" s="18"/>
      <c r="J753" s="18"/>
      <c r="K753" s="18"/>
      <c r="L753" s="10"/>
      <c r="M753" s="18"/>
      <c r="N753" s="10"/>
      <c r="O753" s="18"/>
      <c r="P753" s="18"/>
      <c r="Q753" s="18"/>
      <c r="R753" s="18"/>
      <c r="S753" s="18"/>
    </row>
    <row r="754" spans="1:19" x14ac:dyDescent="0.25">
      <c r="A754" s="9" t="s">
        <v>1480</v>
      </c>
      <c r="B754" s="17" t="s">
        <v>1483</v>
      </c>
      <c r="C754" s="18">
        <f t="shared" si="49"/>
        <v>374632.46</v>
      </c>
      <c r="D754" s="18"/>
      <c r="E754" s="18">
        <v>374632.46</v>
      </c>
      <c r="F754" s="18"/>
      <c r="G754" s="18"/>
      <c r="H754" s="18"/>
      <c r="I754" s="18"/>
      <c r="J754" s="18"/>
      <c r="K754" s="18"/>
      <c r="L754" s="10"/>
      <c r="M754" s="18"/>
      <c r="N754" s="10"/>
      <c r="O754" s="18"/>
      <c r="P754" s="18"/>
      <c r="Q754" s="18"/>
      <c r="R754" s="18"/>
      <c r="S754" s="18"/>
    </row>
    <row r="755" spans="1:19" x14ac:dyDescent="0.25">
      <c r="A755" s="9" t="s">
        <v>1482</v>
      </c>
      <c r="B755" s="17" t="s">
        <v>1485</v>
      </c>
      <c r="C755" s="18">
        <f t="shared" si="49"/>
        <v>257300.47</v>
      </c>
      <c r="D755" s="18"/>
      <c r="E755" s="18">
        <v>257300.47</v>
      </c>
      <c r="F755" s="18"/>
      <c r="G755" s="18"/>
      <c r="H755" s="18"/>
      <c r="I755" s="18"/>
      <c r="J755" s="18"/>
      <c r="K755" s="18"/>
      <c r="L755" s="10"/>
      <c r="M755" s="18"/>
      <c r="N755" s="10"/>
      <c r="O755" s="18"/>
      <c r="P755" s="18"/>
      <c r="Q755" s="18"/>
      <c r="R755" s="18"/>
      <c r="S755" s="18"/>
    </row>
    <row r="756" spans="1:19" x14ac:dyDescent="0.25">
      <c r="A756" s="9" t="s">
        <v>1484</v>
      </c>
      <c r="B756" s="17" t="s">
        <v>1487</v>
      </c>
      <c r="C756" s="18">
        <f t="shared" si="49"/>
        <v>878350.84</v>
      </c>
      <c r="D756" s="18"/>
      <c r="E756" s="18">
        <v>878350.84</v>
      </c>
      <c r="F756" s="18"/>
      <c r="G756" s="18"/>
      <c r="H756" s="18"/>
      <c r="I756" s="18"/>
      <c r="J756" s="18"/>
      <c r="K756" s="18"/>
      <c r="L756" s="10"/>
      <c r="M756" s="18"/>
      <c r="N756" s="10"/>
      <c r="O756" s="18"/>
      <c r="P756" s="18"/>
      <c r="Q756" s="18"/>
      <c r="R756" s="18"/>
      <c r="S756" s="18"/>
    </row>
    <row r="757" spans="1:19" x14ac:dyDescent="0.25">
      <c r="A757" s="9" t="s">
        <v>1486</v>
      </c>
      <c r="B757" s="17" t="s">
        <v>1489</v>
      </c>
      <c r="C757" s="18">
        <f t="shared" si="49"/>
        <v>27365536.59</v>
      </c>
      <c r="D757" s="18">
        <v>72599.210000000006</v>
      </c>
      <c r="E757" s="18"/>
      <c r="F757" s="18"/>
      <c r="G757" s="18"/>
      <c r="H757" s="18">
        <v>1540426.41</v>
      </c>
      <c r="I757" s="18">
        <v>812988.17</v>
      </c>
      <c r="J757" s="18">
        <v>1518068.3</v>
      </c>
      <c r="K757" s="18"/>
      <c r="L757" s="10"/>
      <c r="M757" s="18"/>
      <c r="N757" s="10" t="s">
        <v>355</v>
      </c>
      <c r="O757" s="18">
        <v>13718222.24</v>
      </c>
      <c r="P757" s="18"/>
      <c r="Q757" s="18">
        <v>9703232.2599999998</v>
      </c>
      <c r="R757" s="18"/>
      <c r="S757" s="18"/>
    </row>
    <row r="758" spans="1:19" x14ac:dyDescent="0.25">
      <c r="A758" s="9" t="s">
        <v>1488</v>
      </c>
      <c r="B758" s="17" t="s">
        <v>1491</v>
      </c>
      <c r="C758" s="18">
        <f t="shared" si="49"/>
        <v>268840.42</v>
      </c>
      <c r="D758" s="18"/>
      <c r="E758" s="18">
        <v>268840.42</v>
      </c>
      <c r="F758" s="18"/>
      <c r="G758" s="18"/>
      <c r="H758" s="18"/>
      <c r="I758" s="18"/>
      <c r="J758" s="18"/>
      <c r="K758" s="18"/>
      <c r="L758" s="10"/>
      <c r="M758" s="18"/>
      <c r="N758" s="10"/>
      <c r="O758" s="18"/>
      <c r="P758" s="18"/>
      <c r="Q758" s="18"/>
      <c r="R758" s="18"/>
      <c r="S758" s="18"/>
    </row>
    <row r="759" spans="1:19" x14ac:dyDescent="0.25">
      <c r="A759" s="9" t="s">
        <v>1490</v>
      </c>
      <c r="B759" s="17" t="s">
        <v>1493</v>
      </c>
      <c r="C759" s="18">
        <f t="shared" si="49"/>
        <v>144368.09</v>
      </c>
      <c r="D759" s="18"/>
      <c r="E759" s="18">
        <v>144368.09</v>
      </c>
      <c r="F759" s="18"/>
      <c r="G759" s="18"/>
      <c r="H759" s="18"/>
      <c r="I759" s="18"/>
      <c r="J759" s="18"/>
      <c r="K759" s="18"/>
      <c r="L759" s="10"/>
      <c r="M759" s="18"/>
      <c r="N759" s="10"/>
      <c r="O759" s="18"/>
      <c r="P759" s="18"/>
      <c r="Q759" s="18"/>
      <c r="R759" s="18"/>
      <c r="S759" s="18"/>
    </row>
    <row r="760" spans="1:19" x14ac:dyDescent="0.25">
      <c r="A760" s="9" t="s">
        <v>1492</v>
      </c>
      <c r="B760" s="17" t="s">
        <v>1495</v>
      </c>
      <c r="C760" s="18">
        <f t="shared" si="49"/>
        <v>708314.36</v>
      </c>
      <c r="D760" s="18"/>
      <c r="E760" s="18">
        <v>708314.36</v>
      </c>
      <c r="F760" s="18"/>
      <c r="G760" s="18"/>
      <c r="H760" s="18"/>
      <c r="I760" s="18"/>
      <c r="J760" s="18"/>
      <c r="K760" s="18"/>
      <c r="L760" s="10"/>
      <c r="M760" s="18"/>
      <c r="N760" s="10"/>
      <c r="O760" s="18"/>
      <c r="P760" s="18"/>
      <c r="Q760" s="18"/>
      <c r="R760" s="18"/>
      <c r="S760" s="18"/>
    </row>
    <row r="761" spans="1:19" x14ac:dyDescent="0.25">
      <c r="A761" s="9" t="s">
        <v>1494</v>
      </c>
      <c r="B761" s="17" t="s">
        <v>1497</v>
      </c>
      <c r="C761" s="18">
        <f t="shared" si="49"/>
        <v>441293.18</v>
      </c>
      <c r="D761" s="18"/>
      <c r="E761" s="18">
        <v>441293.18</v>
      </c>
      <c r="F761" s="18"/>
      <c r="G761" s="18"/>
      <c r="H761" s="18"/>
      <c r="I761" s="18"/>
      <c r="J761" s="18"/>
      <c r="K761" s="18"/>
      <c r="L761" s="10"/>
      <c r="M761" s="18"/>
      <c r="N761" s="10"/>
      <c r="O761" s="18"/>
      <c r="P761" s="18"/>
      <c r="Q761" s="18"/>
      <c r="R761" s="18"/>
      <c r="S761" s="18"/>
    </row>
    <row r="762" spans="1:19" ht="15" customHeight="1" x14ac:dyDescent="0.25">
      <c r="A762" s="33"/>
      <c r="B762" s="33" t="s">
        <v>1498</v>
      </c>
      <c r="C762" s="18">
        <f>ROUND(D762+E762+F762+G762+H762+I762+J762+K762+M762+O762+P762+Q762+R762+S762,2)</f>
        <v>1010321919.48</v>
      </c>
      <c r="D762" s="18">
        <f t="shared" ref="D762:S762" si="50">SUM(D555:D761)</f>
        <v>6438582.0700000003</v>
      </c>
      <c r="E762" s="18">
        <f t="shared" si="50"/>
        <v>81592280.829999983</v>
      </c>
      <c r="F762" s="18">
        <f t="shared" si="50"/>
        <v>80356231.890000001</v>
      </c>
      <c r="G762" s="18">
        <f t="shared" si="50"/>
        <v>142603592.11999997</v>
      </c>
      <c r="H762" s="18">
        <f t="shared" si="50"/>
        <v>25067548.510000005</v>
      </c>
      <c r="I762" s="18">
        <f t="shared" si="50"/>
        <v>12089181.76</v>
      </c>
      <c r="J762" s="18">
        <f t="shared" si="50"/>
        <v>21909433.16</v>
      </c>
      <c r="K762" s="18">
        <f t="shared" si="50"/>
        <v>0</v>
      </c>
      <c r="L762" s="10">
        <f t="shared" si="50"/>
        <v>9</v>
      </c>
      <c r="M762" s="18">
        <f t="shared" si="50"/>
        <v>32318563.329999998</v>
      </c>
      <c r="N762" s="18" t="s">
        <v>42</v>
      </c>
      <c r="O762" s="18">
        <f t="shared" si="50"/>
        <v>246687728.28999996</v>
      </c>
      <c r="P762" s="18">
        <f t="shared" si="50"/>
        <v>3530295.44</v>
      </c>
      <c r="Q762" s="18">
        <f t="shared" si="50"/>
        <v>297115847.89999992</v>
      </c>
      <c r="R762" s="18">
        <f t="shared" si="50"/>
        <v>60612634.18</v>
      </c>
      <c r="S762" s="18">
        <f t="shared" si="50"/>
        <v>0</v>
      </c>
    </row>
    <row r="763" spans="1:19" ht="15" customHeight="1" x14ac:dyDescent="0.25">
      <c r="A763" s="34"/>
      <c r="B763" s="34" t="s">
        <v>1499</v>
      </c>
      <c r="C763" s="19"/>
      <c r="D763" s="13"/>
      <c r="E763" s="13"/>
      <c r="F763" s="13"/>
      <c r="G763" s="13"/>
      <c r="H763" s="13"/>
      <c r="I763" s="13"/>
      <c r="J763" s="13"/>
      <c r="K763" s="13"/>
      <c r="L763" s="14"/>
      <c r="M763" s="13"/>
      <c r="N763" s="14"/>
      <c r="O763" s="13"/>
      <c r="P763" s="13"/>
      <c r="Q763" s="13"/>
      <c r="R763" s="13"/>
      <c r="S763" s="13"/>
    </row>
    <row r="764" spans="1:19" x14ac:dyDescent="0.25">
      <c r="A764" s="9" t="s">
        <v>1496</v>
      </c>
      <c r="B764" s="17" t="s">
        <v>1501</v>
      </c>
      <c r="C764" s="18">
        <f t="shared" ref="C764:C795" si="51">ROUNDUP(SUM(D764+E764+F764+G764+H764+I764+J764+K764+M764+O764+P764+Q764+R764+S764),2)</f>
        <v>238584.89</v>
      </c>
      <c r="D764" s="18"/>
      <c r="E764" s="18">
        <v>238584.89</v>
      </c>
      <c r="F764" s="18"/>
      <c r="G764" s="18"/>
      <c r="H764" s="18"/>
      <c r="I764" s="18"/>
      <c r="J764" s="18"/>
      <c r="K764" s="18"/>
      <c r="L764" s="10"/>
      <c r="M764" s="18"/>
      <c r="N764" s="10"/>
      <c r="O764" s="18"/>
      <c r="P764" s="18"/>
      <c r="Q764" s="18"/>
      <c r="R764" s="18"/>
      <c r="S764" s="18"/>
    </row>
    <row r="765" spans="1:19" x14ac:dyDescent="0.25">
      <c r="A765" s="9" t="s">
        <v>1500</v>
      </c>
      <c r="B765" s="17" t="s">
        <v>1503</v>
      </c>
      <c r="C765" s="18">
        <f t="shared" si="51"/>
        <v>976730.6</v>
      </c>
      <c r="D765" s="18">
        <v>4547.75</v>
      </c>
      <c r="E765" s="18"/>
      <c r="F765" s="18"/>
      <c r="G765" s="18">
        <v>972182.85</v>
      </c>
      <c r="H765" s="18"/>
      <c r="I765" s="18"/>
      <c r="J765" s="18"/>
      <c r="K765" s="18"/>
      <c r="L765" s="10"/>
      <c r="M765" s="18"/>
      <c r="N765" s="10"/>
      <c r="O765" s="18"/>
      <c r="P765" s="18"/>
      <c r="Q765" s="18"/>
      <c r="R765" s="18"/>
      <c r="S765" s="18"/>
    </row>
    <row r="766" spans="1:19" x14ac:dyDescent="0.25">
      <c r="A766" s="9" t="s">
        <v>1502</v>
      </c>
      <c r="B766" s="17" t="s">
        <v>1505</v>
      </c>
      <c r="C766" s="18">
        <f t="shared" si="51"/>
        <v>450292.74</v>
      </c>
      <c r="D766" s="18"/>
      <c r="E766" s="18">
        <v>450292.74</v>
      </c>
      <c r="F766" s="18"/>
      <c r="G766" s="18"/>
      <c r="H766" s="18"/>
      <c r="I766" s="18"/>
      <c r="J766" s="18"/>
      <c r="K766" s="18"/>
      <c r="L766" s="10"/>
      <c r="M766" s="18"/>
      <c r="N766" s="10"/>
      <c r="O766" s="18"/>
      <c r="P766" s="18"/>
      <c r="Q766" s="18"/>
      <c r="R766" s="18"/>
      <c r="S766" s="18"/>
    </row>
    <row r="767" spans="1:19" x14ac:dyDescent="0.25">
      <c r="A767" s="9" t="s">
        <v>1504</v>
      </c>
      <c r="B767" s="17" t="s">
        <v>1507</v>
      </c>
      <c r="C767" s="18">
        <f t="shared" si="51"/>
        <v>143636.46</v>
      </c>
      <c r="D767" s="18"/>
      <c r="E767" s="18">
        <v>143636.46</v>
      </c>
      <c r="F767" s="18"/>
      <c r="G767" s="18"/>
      <c r="H767" s="18"/>
      <c r="I767" s="18"/>
      <c r="J767" s="18"/>
      <c r="K767" s="18"/>
      <c r="L767" s="10"/>
      <c r="M767" s="18"/>
      <c r="N767" s="10"/>
      <c r="O767" s="18"/>
      <c r="P767" s="18"/>
      <c r="Q767" s="18"/>
      <c r="R767" s="18"/>
      <c r="S767" s="18"/>
    </row>
    <row r="768" spans="1:19" x14ac:dyDescent="0.25">
      <c r="A768" s="9" t="s">
        <v>1506</v>
      </c>
      <c r="B768" s="17" t="s">
        <v>1509</v>
      </c>
      <c r="C768" s="18">
        <f t="shared" si="51"/>
        <v>439028.84</v>
      </c>
      <c r="D768" s="18"/>
      <c r="E768" s="18">
        <v>439028.84</v>
      </c>
      <c r="F768" s="18"/>
      <c r="G768" s="18"/>
      <c r="H768" s="18"/>
      <c r="I768" s="18"/>
      <c r="J768" s="18"/>
      <c r="K768" s="18"/>
      <c r="L768" s="10"/>
      <c r="M768" s="18"/>
      <c r="N768" s="10"/>
      <c r="O768" s="18"/>
      <c r="P768" s="18"/>
      <c r="Q768" s="18"/>
      <c r="R768" s="18"/>
      <c r="S768" s="18"/>
    </row>
    <row r="769" spans="1:19" x14ac:dyDescent="0.25">
      <c r="A769" s="9" t="s">
        <v>1508</v>
      </c>
      <c r="B769" s="17" t="s">
        <v>1511</v>
      </c>
      <c r="C769" s="18">
        <f t="shared" si="51"/>
        <v>4867519.7</v>
      </c>
      <c r="D769" s="18">
        <f>ROUNDUP(SUM(F769+G769+H769+I769+J769+K769+M769+O769+P769+Q769+R769+S769)*0.0214,2)</f>
        <v>101982.5</v>
      </c>
      <c r="E769" s="18"/>
      <c r="F769" s="18"/>
      <c r="G769" s="18">
        <v>4765537.1999999993</v>
      </c>
      <c r="H769" s="18"/>
      <c r="I769" s="18"/>
      <c r="J769" s="18"/>
      <c r="K769" s="18"/>
      <c r="L769" s="10"/>
      <c r="M769" s="18"/>
      <c r="N769" s="10"/>
      <c r="O769" s="18"/>
      <c r="P769" s="18"/>
      <c r="Q769" s="18"/>
      <c r="R769" s="18"/>
      <c r="S769" s="18"/>
    </row>
    <row r="770" spans="1:19" x14ac:dyDescent="0.25">
      <c r="A770" s="9" t="s">
        <v>1510</v>
      </c>
      <c r="B770" s="17" t="s">
        <v>1513</v>
      </c>
      <c r="C770" s="18">
        <f t="shared" si="51"/>
        <v>255094.5</v>
      </c>
      <c r="D770" s="18"/>
      <c r="E770" s="18">
        <v>255094.5</v>
      </c>
      <c r="F770" s="18"/>
      <c r="G770" s="18"/>
      <c r="H770" s="18"/>
      <c r="I770" s="18"/>
      <c r="J770" s="18"/>
      <c r="K770" s="18"/>
      <c r="L770" s="10"/>
      <c r="M770" s="18"/>
      <c r="N770" s="10"/>
      <c r="O770" s="18"/>
      <c r="P770" s="18"/>
      <c r="Q770" s="18"/>
      <c r="R770" s="18"/>
      <c r="S770" s="18"/>
    </row>
    <row r="771" spans="1:19" x14ac:dyDescent="0.25">
      <c r="A771" s="9" t="s">
        <v>1512</v>
      </c>
      <c r="B771" s="17" t="s">
        <v>1515</v>
      </c>
      <c r="C771" s="18">
        <f t="shared" si="51"/>
        <v>581800.04</v>
      </c>
      <c r="D771" s="18"/>
      <c r="E771" s="18">
        <v>581800.04</v>
      </c>
      <c r="F771" s="18"/>
      <c r="G771" s="18"/>
      <c r="H771" s="18"/>
      <c r="I771" s="18"/>
      <c r="J771" s="18"/>
      <c r="K771" s="18"/>
      <c r="L771" s="10"/>
      <c r="M771" s="18"/>
      <c r="N771" s="10"/>
      <c r="O771" s="18"/>
      <c r="P771" s="18"/>
      <c r="Q771" s="18"/>
      <c r="R771" s="18"/>
      <c r="S771" s="18"/>
    </row>
    <row r="772" spans="1:19" x14ac:dyDescent="0.25">
      <c r="A772" s="9" t="s">
        <v>1514</v>
      </c>
      <c r="B772" s="17" t="s">
        <v>1517</v>
      </c>
      <c r="C772" s="18">
        <f t="shared" si="51"/>
        <v>165426.15</v>
      </c>
      <c r="D772" s="18"/>
      <c r="E772" s="18">
        <v>165426.15</v>
      </c>
      <c r="F772" s="18"/>
      <c r="G772" s="18"/>
      <c r="H772" s="18"/>
      <c r="I772" s="18"/>
      <c r="J772" s="18"/>
      <c r="K772" s="18"/>
      <c r="L772" s="10"/>
      <c r="M772" s="18"/>
      <c r="N772" s="10"/>
      <c r="O772" s="18"/>
      <c r="P772" s="18"/>
      <c r="Q772" s="18"/>
      <c r="R772" s="18"/>
      <c r="S772" s="18"/>
    </row>
    <row r="773" spans="1:19" x14ac:dyDescent="0.25">
      <c r="A773" s="9" t="s">
        <v>1516</v>
      </c>
      <c r="B773" s="17" t="s">
        <v>1519</v>
      </c>
      <c r="C773" s="18">
        <f t="shared" si="51"/>
        <v>41489.230000000003</v>
      </c>
      <c r="D773" s="18"/>
      <c r="E773" s="18">
        <v>41489.230000000003</v>
      </c>
      <c r="F773" s="18"/>
      <c r="G773" s="18"/>
      <c r="H773" s="18"/>
      <c r="I773" s="18"/>
      <c r="J773" s="18"/>
      <c r="K773" s="18"/>
      <c r="L773" s="10"/>
      <c r="M773" s="18"/>
      <c r="N773" s="10"/>
      <c r="O773" s="18"/>
      <c r="P773" s="18"/>
      <c r="Q773" s="18"/>
      <c r="R773" s="18"/>
      <c r="S773" s="18"/>
    </row>
    <row r="774" spans="1:19" x14ac:dyDescent="0.25">
      <c r="A774" s="9" t="s">
        <v>1518</v>
      </c>
      <c r="B774" s="17" t="s">
        <v>1521</v>
      </c>
      <c r="C774" s="18">
        <f t="shared" si="51"/>
        <v>247741.78</v>
      </c>
      <c r="D774" s="18"/>
      <c r="E774" s="18">
        <v>247741.78</v>
      </c>
      <c r="F774" s="18"/>
      <c r="G774" s="18"/>
      <c r="H774" s="18"/>
      <c r="I774" s="18"/>
      <c r="J774" s="18"/>
      <c r="K774" s="18"/>
      <c r="L774" s="10"/>
      <c r="M774" s="18"/>
      <c r="N774" s="10"/>
      <c r="O774" s="18"/>
      <c r="P774" s="18"/>
      <c r="Q774" s="18"/>
      <c r="R774" s="18"/>
      <c r="S774" s="18"/>
    </row>
    <row r="775" spans="1:19" x14ac:dyDescent="0.25">
      <c r="A775" s="9" t="s">
        <v>1520</v>
      </c>
      <c r="B775" s="17" t="s">
        <v>1523</v>
      </c>
      <c r="C775" s="18">
        <f t="shared" si="51"/>
        <v>132069.15</v>
      </c>
      <c r="D775" s="18"/>
      <c r="E775" s="18">
        <v>132069.15</v>
      </c>
      <c r="F775" s="18"/>
      <c r="G775" s="18"/>
      <c r="H775" s="18"/>
      <c r="I775" s="18"/>
      <c r="J775" s="18"/>
      <c r="K775" s="18"/>
      <c r="L775" s="10"/>
      <c r="M775" s="18"/>
      <c r="N775" s="10"/>
      <c r="O775" s="18"/>
      <c r="P775" s="18"/>
      <c r="Q775" s="18"/>
      <c r="R775" s="18"/>
      <c r="S775" s="18"/>
    </row>
    <row r="776" spans="1:19" x14ac:dyDescent="0.25">
      <c r="A776" s="9" t="s">
        <v>1522</v>
      </c>
      <c r="B776" s="17" t="s">
        <v>1525</v>
      </c>
      <c r="C776" s="18">
        <f t="shared" si="51"/>
        <v>134129.01</v>
      </c>
      <c r="D776" s="18"/>
      <c r="E776" s="18">
        <v>134129.01</v>
      </c>
      <c r="F776" s="18"/>
      <c r="G776" s="18"/>
      <c r="H776" s="18"/>
      <c r="I776" s="18"/>
      <c r="J776" s="18"/>
      <c r="K776" s="18"/>
      <c r="L776" s="10"/>
      <c r="M776" s="18"/>
      <c r="N776" s="10"/>
      <c r="O776" s="18"/>
      <c r="P776" s="18"/>
      <c r="Q776" s="18"/>
      <c r="R776" s="18"/>
      <c r="S776" s="18"/>
    </row>
    <row r="777" spans="1:19" x14ac:dyDescent="0.25">
      <c r="A777" s="9" t="s">
        <v>1524</v>
      </c>
      <c r="B777" s="17" t="s">
        <v>1527</v>
      </c>
      <c r="C777" s="18">
        <f t="shared" si="51"/>
        <v>134018.66</v>
      </c>
      <c r="D777" s="18"/>
      <c r="E777" s="18">
        <v>134018.66</v>
      </c>
      <c r="F777" s="18"/>
      <c r="G777" s="18"/>
      <c r="H777" s="18"/>
      <c r="I777" s="18"/>
      <c r="J777" s="18"/>
      <c r="K777" s="18"/>
      <c r="L777" s="10"/>
      <c r="M777" s="18"/>
      <c r="N777" s="10"/>
      <c r="O777" s="18"/>
      <c r="P777" s="18"/>
      <c r="Q777" s="18"/>
      <c r="R777" s="18"/>
      <c r="S777" s="18"/>
    </row>
    <row r="778" spans="1:19" x14ac:dyDescent="0.25">
      <c r="A778" s="9" t="s">
        <v>1526</v>
      </c>
      <c r="B778" s="17" t="s">
        <v>1529</v>
      </c>
      <c r="C778" s="18">
        <f t="shared" si="51"/>
        <v>592030.91</v>
      </c>
      <c r="D778" s="18"/>
      <c r="E778" s="18">
        <v>592030.91</v>
      </c>
      <c r="F778" s="18"/>
      <c r="G778" s="18"/>
      <c r="H778" s="18"/>
      <c r="I778" s="18"/>
      <c r="J778" s="18"/>
      <c r="K778" s="18"/>
      <c r="L778" s="10"/>
      <c r="M778" s="18"/>
      <c r="N778" s="10"/>
      <c r="O778" s="18"/>
      <c r="P778" s="18"/>
      <c r="Q778" s="18"/>
      <c r="R778" s="18"/>
      <c r="S778" s="18"/>
    </row>
    <row r="779" spans="1:19" x14ac:dyDescent="0.25">
      <c r="A779" s="9" t="s">
        <v>1528</v>
      </c>
      <c r="B779" s="17" t="s">
        <v>1531</v>
      </c>
      <c r="C779" s="18">
        <f>ROUNDUP(SUM(D779+E779+F779+G779+H779+I779+J779+K779+M779+O779+P779+Q779+R779+S779),2)</f>
        <v>162981.34</v>
      </c>
      <c r="D779" s="18"/>
      <c r="E779" s="18">
        <v>162981.34</v>
      </c>
      <c r="F779" s="18"/>
      <c r="G779" s="18"/>
      <c r="H779" s="18"/>
      <c r="I779" s="18"/>
      <c r="J779" s="18"/>
      <c r="K779" s="18"/>
      <c r="L779" s="10"/>
      <c r="M779" s="18"/>
      <c r="N779" s="10"/>
      <c r="O779" s="18"/>
      <c r="P779" s="18"/>
      <c r="Q779" s="18"/>
      <c r="R779" s="18"/>
      <c r="S779" s="18"/>
    </row>
    <row r="780" spans="1:19" x14ac:dyDescent="0.25">
      <c r="A780" s="9" t="s">
        <v>1530</v>
      </c>
      <c r="B780" s="17" t="s">
        <v>1533</v>
      </c>
      <c r="C780" s="18">
        <f t="shared" si="51"/>
        <v>245503.47</v>
      </c>
      <c r="D780" s="18"/>
      <c r="E780" s="18">
        <v>245503.47</v>
      </c>
      <c r="F780" s="18"/>
      <c r="G780" s="18"/>
      <c r="H780" s="18"/>
      <c r="I780" s="18"/>
      <c r="J780" s="18"/>
      <c r="K780" s="18"/>
      <c r="L780" s="10"/>
      <c r="M780" s="18"/>
      <c r="N780" s="10"/>
      <c r="O780" s="18"/>
      <c r="P780" s="18"/>
      <c r="Q780" s="18"/>
      <c r="R780" s="18"/>
      <c r="S780" s="18"/>
    </row>
    <row r="781" spans="1:19" x14ac:dyDescent="0.25">
      <c r="A781" s="9" t="s">
        <v>1532</v>
      </c>
      <c r="B781" s="17" t="s">
        <v>1535</v>
      </c>
      <c r="C781" s="18">
        <f t="shared" si="51"/>
        <v>273093.2</v>
      </c>
      <c r="D781" s="18"/>
      <c r="E781" s="18">
        <v>273093.2</v>
      </c>
      <c r="F781" s="18"/>
      <c r="G781" s="18"/>
      <c r="H781" s="18"/>
      <c r="I781" s="18"/>
      <c r="J781" s="18"/>
      <c r="K781" s="18"/>
      <c r="L781" s="10"/>
      <c r="M781" s="18"/>
      <c r="N781" s="10"/>
      <c r="O781" s="18"/>
      <c r="P781" s="18"/>
      <c r="Q781" s="18"/>
      <c r="R781" s="18"/>
      <c r="S781" s="18"/>
    </row>
    <row r="782" spans="1:19" x14ac:dyDescent="0.25">
      <c r="A782" s="9" t="s">
        <v>1534</v>
      </c>
      <c r="B782" s="17" t="s">
        <v>1537</v>
      </c>
      <c r="C782" s="18">
        <f>ROUNDUP(SUM(D782+E782+F782+G782+H782+I782+J782+K782+M782+O782+P782+Q782+R782+S782),2)</f>
        <v>7920186.9000000004</v>
      </c>
      <c r="D782" s="18"/>
      <c r="E782" s="18">
        <v>191203.7</v>
      </c>
      <c r="F782" s="18"/>
      <c r="G782" s="18"/>
      <c r="H782" s="18"/>
      <c r="I782" s="18"/>
      <c r="J782" s="18"/>
      <c r="K782" s="18"/>
      <c r="L782" s="10"/>
      <c r="M782" s="18"/>
      <c r="N782" s="10"/>
      <c r="O782" s="18"/>
      <c r="P782" s="18">
        <v>7728983.2000000002</v>
      </c>
      <c r="Q782" s="18"/>
      <c r="R782" s="18"/>
      <c r="S782" s="18"/>
    </row>
    <row r="783" spans="1:19" x14ac:dyDescent="0.25">
      <c r="A783" s="9" t="s">
        <v>1536</v>
      </c>
      <c r="B783" s="17" t="s">
        <v>1539</v>
      </c>
      <c r="C783" s="18">
        <f t="shared" si="51"/>
        <v>837588.58</v>
      </c>
      <c r="D783" s="18"/>
      <c r="E783" s="18">
        <v>837588.58</v>
      </c>
      <c r="F783" s="18"/>
      <c r="G783" s="18"/>
      <c r="H783" s="18"/>
      <c r="I783" s="18"/>
      <c r="J783" s="18"/>
      <c r="K783" s="18"/>
      <c r="L783" s="10"/>
      <c r="M783" s="18"/>
      <c r="N783" s="10"/>
      <c r="O783" s="18"/>
      <c r="P783" s="18"/>
      <c r="Q783" s="18"/>
      <c r="R783" s="18"/>
      <c r="S783" s="18"/>
    </row>
    <row r="784" spans="1:19" x14ac:dyDescent="0.25">
      <c r="A784" s="9" t="s">
        <v>1538</v>
      </c>
      <c r="B784" s="17" t="s">
        <v>1541</v>
      </c>
      <c r="C784" s="18">
        <f t="shared" si="51"/>
        <v>273431.87</v>
      </c>
      <c r="D784" s="18"/>
      <c r="E784" s="18">
        <v>273431.87</v>
      </c>
      <c r="F784" s="18"/>
      <c r="G784" s="18"/>
      <c r="H784" s="18"/>
      <c r="I784" s="18"/>
      <c r="J784" s="18"/>
      <c r="K784" s="18"/>
      <c r="L784" s="10"/>
      <c r="M784" s="18"/>
      <c r="N784" s="10"/>
      <c r="O784" s="18"/>
      <c r="P784" s="18"/>
      <c r="Q784" s="18"/>
      <c r="R784" s="18"/>
      <c r="S784" s="18"/>
    </row>
    <row r="785" spans="1:19" x14ac:dyDescent="0.25">
      <c r="A785" s="9" t="s">
        <v>1540</v>
      </c>
      <c r="B785" s="17" t="s">
        <v>1543</v>
      </c>
      <c r="C785" s="18">
        <f t="shared" si="51"/>
        <v>4381529.6900000004</v>
      </c>
      <c r="D785" s="18"/>
      <c r="E785" s="18">
        <v>168771.97</v>
      </c>
      <c r="F785" s="18"/>
      <c r="G785" s="18">
        <v>2265842.2000000002</v>
      </c>
      <c r="H785" s="18">
        <v>1217697.3600000001</v>
      </c>
      <c r="I785" s="18">
        <v>729218.16</v>
      </c>
      <c r="J785" s="18"/>
      <c r="K785" s="18"/>
      <c r="L785" s="10"/>
      <c r="M785" s="18"/>
      <c r="N785" s="10"/>
      <c r="O785" s="18"/>
      <c r="P785" s="18"/>
      <c r="Q785" s="18"/>
      <c r="R785" s="18"/>
      <c r="S785" s="18"/>
    </row>
    <row r="786" spans="1:19" x14ac:dyDescent="0.25">
      <c r="A786" s="9" t="s">
        <v>1542</v>
      </c>
      <c r="B786" s="17" t="s">
        <v>1545</v>
      </c>
      <c r="C786" s="18">
        <f t="shared" si="51"/>
        <v>5173347.4000000004</v>
      </c>
      <c r="D786" s="18"/>
      <c r="E786" s="18">
        <v>163764.48000000001</v>
      </c>
      <c r="F786" s="18"/>
      <c r="G786" s="18">
        <v>3331146.47</v>
      </c>
      <c r="H786" s="18">
        <v>1040162.75</v>
      </c>
      <c r="I786" s="18">
        <v>638273.69999999995</v>
      </c>
      <c r="J786" s="18"/>
      <c r="K786" s="18"/>
      <c r="L786" s="10"/>
      <c r="M786" s="18"/>
      <c r="N786" s="10"/>
      <c r="O786" s="18"/>
      <c r="P786" s="18"/>
      <c r="Q786" s="18"/>
      <c r="R786" s="18"/>
      <c r="S786" s="18"/>
    </row>
    <row r="787" spans="1:19" x14ac:dyDescent="0.25">
      <c r="A787" s="9" t="s">
        <v>1544</v>
      </c>
      <c r="B787" s="17" t="s">
        <v>1547</v>
      </c>
      <c r="C787" s="18">
        <f>ROUNDUP(SUM(D787+E787+F787+G787+H787+I787+J787+K787+M787+O787+P787+Q787+R787+S787),2)</f>
        <v>177378.49</v>
      </c>
      <c r="D787" s="18"/>
      <c r="E787" s="18">
        <v>177378.49</v>
      </c>
      <c r="F787" s="18"/>
      <c r="G787" s="18"/>
      <c r="H787" s="18"/>
      <c r="I787" s="18"/>
      <c r="J787" s="18"/>
      <c r="K787" s="18"/>
      <c r="L787" s="10"/>
      <c r="M787" s="18"/>
      <c r="N787" s="10"/>
      <c r="O787" s="18"/>
      <c r="P787" s="18"/>
      <c r="Q787" s="18"/>
      <c r="R787" s="18"/>
      <c r="S787" s="18"/>
    </row>
    <row r="788" spans="1:19" x14ac:dyDescent="0.25">
      <c r="A788" s="9" t="s">
        <v>1546</v>
      </c>
      <c r="B788" s="17" t="s">
        <v>1549</v>
      </c>
      <c r="C788" s="18">
        <f t="shared" si="51"/>
        <v>179015.6</v>
      </c>
      <c r="D788" s="18"/>
      <c r="E788" s="18">
        <v>179015.6</v>
      </c>
      <c r="F788" s="18"/>
      <c r="G788" s="18"/>
      <c r="H788" s="18"/>
      <c r="I788" s="18"/>
      <c r="J788" s="18"/>
      <c r="K788" s="18"/>
      <c r="L788" s="10"/>
      <c r="M788" s="18"/>
      <c r="N788" s="10"/>
      <c r="O788" s="18"/>
      <c r="P788" s="18"/>
      <c r="Q788" s="18"/>
      <c r="R788" s="18"/>
      <c r="S788" s="18"/>
    </row>
    <row r="789" spans="1:19" x14ac:dyDescent="0.25">
      <c r="A789" s="9" t="s">
        <v>1548</v>
      </c>
      <c r="B789" s="17" t="s">
        <v>1551</v>
      </c>
      <c r="C789" s="18">
        <f t="shared" si="51"/>
        <v>86045.29</v>
      </c>
      <c r="D789" s="18"/>
      <c r="E789" s="18">
        <v>86045.29</v>
      </c>
      <c r="F789" s="18"/>
      <c r="G789" s="18"/>
      <c r="H789" s="18"/>
      <c r="I789" s="18"/>
      <c r="J789" s="18"/>
      <c r="K789" s="18"/>
      <c r="L789" s="10"/>
      <c r="M789" s="18"/>
      <c r="N789" s="10"/>
      <c r="O789" s="18"/>
      <c r="P789" s="18"/>
      <c r="Q789" s="18"/>
      <c r="R789" s="18"/>
      <c r="S789" s="18"/>
    </row>
    <row r="790" spans="1:19" x14ac:dyDescent="0.25">
      <c r="A790" s="9" t="s">
        <v>1550</v>
      </c>
      <c r="B790" s="17" t="s">
        <v>1553</v>
      </c>
      <c r="C790" s="18">
        <f t="shared" si="51"/>
        <v>160605.54999999999</v>
      </c>
      <c r="D790" s="18"/>
      <c r="E790" s="18">
        <v>160605.54999999999</v>
      </c>
      <c r="F790" s="18"/>
      <c r="G790" s="18"/>
      <c r="H790" s="18"/>
      <c r="I790" s="18"/>
      <c r="J790" s="18"/>
      <c r="K790" s="18"/>
      <c r="L790" s="10"/>
      <c r="M790" s="18"/>
      <c r="N790" s="10"/>
      <c r="O790" s="18"/>
      <c r="P790" s="18"/>
      <c r="Q790" s="18"/>
      <c r="R790" s="18"/>
      <c r="S790" s="18"/>
    </row>
    <row r="791" spans="1:19" x14ac:dyDescent="0.25">
      <c r="A791" s="9" t="s">
        <v>1552</v>
      </c>
      <c r="B791" s="17" t="s">
        <v>1555</v>
      </c>
      <c r="C791" s="18">
        <f t="shared" si="51"/>
        <v>161768.59</v>
      </c>
      <c r="D791" s="18"/>
      <c r="E791" s="18">
        <v>161768.59</v>
      </c>
      <c r="F791" s="18"/>
      <c r="G791" s="18"/>
      <c r="H791" s="18"/>
      <c r="I791" s="18"/>
      <c r="J791" s="18"/>
      <c r="K791" s="18"/>
      <c r="L791" s="10"/>
      <c r="M791" s="18"/>
      <c r="N791" s="10"/>
      <c r="O791" s="18"/>
      <c r="P791" s="18"/>
      <c r="Q791" s="18"/>
      <c r="R791" s="18"/>
      <c r="S791" s="18"/>
    </row>
    <row r="792" spans="1:19" x14ac:dyDescent="0.25">
      <c r="A792" s="9" t="s">
        <v>1554</v>
      </c>
      <c r="B792" s="17" t="s">
        <v>1557</v>
      </c>
      <c r="C792" s="18">
        <f t="shared" si="51"/>
        <v>111265.64</v>
      </c>
      <c r="D792" s="18"/>
      <c r="E792" s="18">
        <v>111265.64</v>
      </c>
      <c r="F792" s="18"/>
      <c r="G792" s="18"/>
      <c r="H792" s="18"/>
      <c r="I792" s="18"/>
      <c r="J792" s="18"/>
      <c r="K792" s="18"/>
      <c r="L792" s="10"/>
      <c r="M792" s="18"/>
      <c r="N792" s="10"/>
      <c r="O792" s="18"/>
      <c r="P792" s="18"/>
      <c r="Q792" s="18"/>
      <c r="R792" s="18"/>
      <c r="S792" s="18"/>
    </row>
    <row r="793" spans="1:19" x14ac:dyDescent="0.25">
      <c r="A793" s="9" t="s">
        <v>1556</v>
      </c>
      <c r="B793" s="17" t="s">
        <v>1559</v>
      </c>
      <c r="C793" s="18">
        <f t="shared" si="51"/>
        <v>156235.84</v>
      </c>
      <c r="D793" s="18"/>
      <c r="E793" s="18">
        <v>156235.84</v>
      </c>
      <c r="F793" s="18"/>
      <c r="G793" s="18"/>
      <c r="H793" s="18"/>
      <c r="I793" s="18"/>
      <c r="J793" s="18"/>
      <c r="K793" s="18"/>
      <c r="L793" s="10"/>
      <c r="M793" s="18"/>
      <c r="N793" s="10"/>
      <c r="O793" s="18"/>
      <c r="P793" s="18"/>
      <c r="Q793" s="18"/>
      <c r="R793" s="18"/>
      <c r="S793" s="18"/>
    </row>
    <row r="794" spans="1:19" x14ac:dyDescent="0.25">
      <c r="A794" s="9" t="s">
        <v>1558</v>
      </c>
      <c r="B794" s="17" t="s">
        <v>1561</v>
      </c>
      <c r="C794" s="18">
        <f t="shared" si="51"/>
        <v>111306.98</v>
      </c>
      <c r="D794" s="18"/>
      <c r="E794" s="18">
        <v>111306.98</v>
      </c>
      <c r="F794" s="18"/>
      <c r="G794" s="18"/>
      <c r="H794" s="18"/>
      <c r="I794" s="18"/>
      <c r="J794" s="18"/>
      <c r="K794" s="18"/>
      <c r="L794" s="10"/>
      <c r="M794" s="18"/>
      <c r="N794" s="10"/>
      <c r="O794" s="18"/>
      <c r="P794" s="18"/>
      <c r="Q794" s="18"/>
      <c r="R794" s="18"/>
      <c r="S794" s="18"/>
    </row>
    <row r="795" spans="1:19" x14ac:dyDescent="0.25">
      <c r="A795" s="9" t="s">
        <v>1560</v>
      </c>
      <c r="B795" s="17" t="s">
        <v>1563</v>
      </c>
      <c r="C795" s="18">
        <f t="shared" si="51"/>
        <v>128932.19</v>
      </c>
      <c r="D795" s="18"/>
      <c r="E795" s="18">
        <v>128932.19</v>
      </c>
      <c r="F795" s="18"/>
      <c r="G795" s="18"/>
      <c r="H795" s="18"/>
      <c r="I795" s="18"/>
      <c r="J795" s="18"/>
      <c r="K795" s="18"/>
      <c r="L795" s="10"/>
      <c r="M795" s="18"/>
      <c r="N795" s="10"/>
      <c r="O795" s="18"/>
      <c r="P795" s="18"/>
      <c r="Q795" s="18"/>
      <c r="R795" s="18"/>
      <c r="S795" s="18"/>
    </row>
    <row r="796" spans="1:19" x14ac:dyDescent="0.25">
      <c r="A796" s="9" t="s">
        <v>1562</v>
      </c>
      <c r="B796" s="17" t="s">
        <v>1565</v>
      </c>
      <c r="C796" s="18">
        <f t="shared" ref="C796:C827" si="52">ROUNDUP(SUM(D796+E796+F796+G796+H796+I796+J796+K796+M796+O796+P796+Q796+R796+S796),2)</f>
        <v>159044.23000000001</v>
      </c>
      <c r="D796" s="18"/>
      <c r="E796" s="18">
        <v>159044.23000000001</v>
      </c>
      <c r="F796" s="18"/>
      <c r="G796" s="18"/>
      <c r="H796" s="18"/>
      <c r="I796" s="18"/>
      <c r="J796" s="18"/>
      <c r="K796" s="18"/>
      <c r="L796" s="10"/>
      <c r="M796" s="18"/>
      <c r="N796" s="10"/>
      <c r="O796" s="18"/>
      <c r="P796" s="18"/>
      <c r="Q796" s="18"/>
      <c r="R796" s="18"/>
      <c r="S796" s="18"/>
    </row>
    <row r="797" spans="1:19" x14ac:dyDescent="0.25">
      <c r="A797" s="9" t="s">
        <v>1564</v>
      </c>
      <c r="B797" s="17" t="s">
        <v>1567</v>
      </c>
      <c r="C797" s="18">
        <f t="shared" si="52"/>
        <v>366169.71</v>
      </c>
      <c r="D797" s="18"/>
      <c r="E797" s="18">
        <v>366169.71</v>
      </c>
      <c r="F797" s="18"/>
      <c r="G797" s="18"/>
      <c r="H797" s="18"/>
      <c r="I797" s="18"/>
      <c r="J797" s="18"/>
      <c r="K797" s="18"/>
      <c r="L797" s="10"/>
      <c r="M797" s="18"/>
      <c r="N797" s="10"/>
      <c r="O797" s="18"/>
      <c r="P797" s="18"/>
      <c r="Q797" s="18"/>
      <c r="R797" s="18"/>
      <c r="S797" s="18"/>
    </row>
    <row r="798" spans="1:19" x14ac:dyDescent="0.25">
      <c r="A798" s="9" t="s">
        <v>1566</v>
      </c>
      <c r="B798" s="17" t="s">
        <v>1569</v>
      </c>
      <c r="C798" s="18">
        <f t="shared" si="52"/>
        <v>128721.99</v>
      </c>
      <c r="D798" s="18"/>
      <c r="E798" s="18">
        <v>128721.99</v>
      </c>
      <c r="F798" s="18"/>
      <c r="G798" s="18"/>
      <c r="H798" s="18"/>
      <c r="I798" s="18"/>
      <c r="J798" s="18"/>
      <c r="K798" s="18"/>
      <c r="L798" s="10"/>
      <c r="M798" s="18"/>
      <c r="N798" s="10"/>
      <c r="O798" s="18"/>
      <c r="P798" s="18"/>
      <c r="Q798" s="18"/>
      <c r="R798" s="18"/>
      <c r="S798" s="18"/>
    </row>
    <row r="799" spans="1:19" x14ac:dyDescent="0.25">
      <c r="A799" s="9" t="s">
        <v>1568</v>
      </c>
      <c r="B799" s="17" t="s">
        <v>1571</v>
      </c>
      <c r="C799" s="18">
        <f t="shared" si="52"/>
        <v>138123.01</v>
      </c>
      <c r="D799" s="18"/>
      <c r="E799" s="18">
        <v>138123.01</v>
      </c>
      <c r="F799" s="18"/>
      <c r="G799" s="18"/>
      <c r="H799" s="18"/>
      <c r="I799" s="18"/>
      <c r="J799" s="18"/>
      <c r="K799" s="18"/>
      <c r="L799" s="10"/>
      <c r="M799" s="18"/>
      <c r="N799" s="10"/>
      <c r="O799" s="18"/>
      <c r="P799" s="18"/>
      <c r="Q799" s="18"/>
      <c r="R799" s="18"/>
      <c r="S799" s="18"/>
    </row>
    <row r="800" spans="1:19" x14ac:dyDescent="0.25">
      <c r="A800" s="9" t="s">
        <v>1570</v>
      </c>
      <c r="B800" s="17" t="s">
        <v>1573</v>
      </c>
      <c r="C800" s="18">
        <f t="shared" si="52"/>
        <v>156625.92000000001</v>
      </c>
      <c r="D800" s="18"/>
      <c r="E800" s="18">
        <v>156625.92000000001</v>
      </c>
      <c r="F800" s="18"/>
      <c r="G800" s="18"/>
      <c r="H800" s="18"/>
      <c r="I800" s="18"/>
      <c r="J800" s="18"/>
      <c r="K800" s="18"/>
      <c r="L800" s="10"/>
      <c r="M800" s="18"/>
      <c r="N800" s="10"/>
      <c r="O800" s="18"/>
      <c r="P800" s="18"/>
      <c r="Q800" s="18"/>
      <c r="R800" s="18"/>
      <c r="S800" s="18"/>
    </row>
    <row r="801" spans="1:19" x14ac:dyDescent="0.25">
      <c r="A801" s="9" t="s">
        <v>1572</v>
      </c>
      <c r="B801" s="17" t="s">
        <v>1575</v>
      </c>
      <c r="C801" s="18">
        <f t="shared" si="52"/>
        <v>67801.460000000006</v>
      </c>
      <c r="D801" s="18"/>
      <c r="E801" s="18">
        <v>67801.460000000006</v>
      </c>
      <c r="F801" s="18"/>
      <c r="G801" s="18"/>
      <c r="H801" s="18"/>
      <c r="I801" s="18"/>
      <c r="J801" s="18"/>
      <c r="K801" s="18"/>
      <c r="L801" s="10"/>
      <c r="M801" s="18"/>
      <c r="N801" s="10"/>
      <c r="O801" s="18"/>
      <c r="P801" s="18"/>
      <c r="Q801" s="18"/>
      <c r="R801" s="18"/>
      <c r="S801" s="18"/>
    </row>
    <row r="802" spans="1:19" x14ac:dyDescent="0.25">
      <c r="A802" s="9" t="s">
        <v>1574</v>
      </c>
      <c r="B802" s="17" t="s">
        <v>1577</v>
      </c>
      <c r="C802" s="18">
        <f t="shared" si="52"/>
        <v>108763.9</v>
      </c>
      <c r="D802" s="18"/>
      <c r="E802" s="18">
        <v>108763.9</v>
      </c>
      <c r="F802" s="18"/>
      <c r="G802" s="18"/>
      <c r="H802" s="18"/>
      <c r="I802" s="18"/>
      <c r="J802" s="18"/>
      <c r="K802" s="18"/>
      <c r="L802" s="10"/>
      <c r="M802" s="18"/>
      <c r="N802" s="10"/>
      <c r="O802" s="18"/>
      <c r="P802" s="18"/>
      <c r="Q802" s="18"/>
      <c r="R802" s="18"/>
      <c r="S802" s="18"/>
    </row>
    <row r="803" spans="1:19" x14ac:dyDescent="0.25">
      <c r="A803" s="9" t="s">
        <v>1576</v>
      </c>
      <c r="B803" s="17" t="s">
        <v>1579</v>
      </c>
      <c r="C803" s="18">
        <f t="shared" si="52"/>
        <v>128626.15</v>
      </c>
      <c r="D803" s="18"/>
      <c r="E803" s="18">
        <v>128626.15</v>
      </c>
      <c r="F803" s="18"/>
      <c r="G803" s="18"/>
      <c r="H803" s="18"/>
      <c r="I803" s="18"/>
      <c r="J803" s="18"/>
      <c r="K803" s="18"/>
      <c r="L803" s="10"/>
      <c r="M803" s="18"/>
      <c r="N803" s="10"/>
      <c r="O803" s="18"/>
      <c r="P803" s="18"/>
      <c r="Q803" s="18"/>
      <c r="R803" s="18"/>
      <c r="S803" s="18"/>
    </row>
    <row r="804" spans="1:19" x14ac:dyDescent="0.25">
      <c r="A804" s="9" t="s">
        <v>1578</v>
      </c>
      <c r="B804" s="17" t="s">
        <v>1581</v>
      </c>
      <c r="C804" s="18">
        <f t="shared" si="52"/>
        <v>43586.25</v>
      </c>
      <c r="D804" s="18"/>
      <c r="E804" s="18">
        <v>43586.25</v>
      </c>
      <c r="F804" s="18"/>
      <c r="G804" s="18"/>
      <c r="H804" s="18"/>
      <c r="I804" s="18"/>
      <c r="J804" s="18"/>
      <c r="K804" s="18"/>
      <c r="L804" s="10"/>
      <c r="M804" s="18"/>
      <c r="N804" s="10"/>
      <c r="O804" s="18"/>
      <c r="P804" s="18"/>
      <c r="Q804" s="18"/>
      <c r="R804" s="18"/>
      <c r="S804" s="18"/>
    </row>
    <row r="805" spans="1:19" x14ac:dyDescent="0.25">
      <c r="A805" s="9" t="s">
        <v>1580</v>
      </c>
      <c r="B805" s="17" t="s">
        <v>1583</v>
      </c>
      <c r="C805" s="18">
        <f t="shared" si="52"/>
        <v>126668.16</v>
      </c>
      <c r="D805" s="18"/>
      <c r="E805" s="18">
        <v>126668.16</v>
      </c>
      <c r="F805" s="18"/>
      <c r="G805" s="18"/>
      <c r="H805" s="18"/>
      <c r="I805" s="18"/>
      <c r="J805" s="18"/>
      <c r="K805" s="18"/>
      <c r="L805" s="10"/>
      <c r="M805" s="18"/>
      <c r="N805" s="10"/>
      <c r="O805" s="18"/>
      <c r="P805" s="18"/>
      <c r="Q805" s="18"/>
      <c r="R805" s="18"/>
      <c r="S805" s="18"/>
    </row>
    <row r="806" spans="1:19" x14ac:dyDescent="0.25">
      <c r="A806" s="9" t="s">
        <v>1582</v>
      </c>
      <c r="B806" s="17" t="s">
        <v>1585</v>
      </c>
      <c r="C806" s="18">
        <f t="shared" si="52"/>
        <v>119452.37</v>
      </c>
      <c r="D806" s="18"/>
      <c r="E806" s="18">
        <v>119452.37</v>
      </c>
      <c r="F806" s="18"/>
      <c r="G806" s="18"/>
      <c r="H806" s="18"/>
      <c r="I806" s="18"/>
      <c r="J806" s="18"/>
      <c r="K806" s="18"/>
      <c r="L806" s="10"/>
      <c r="M806" s="18"/>
      <c r="N806" s="10"/>
      <c r="O806" s="18"/>
      <c r="P806" s="18"/>
      <c r="Q806" s="18"/>
      <c r="R806" s="18"/>
      <c r="S806" s="18"/>
    </row>
    <row r="807" spans="1:19" x14ac:dyDescent="0.25">
      <c r="A807" s="9" t="s">
        <v>1584</v>
      </c>
      <c r="B807" s="17" t="s">
        <v>1587</v>
      </c>
      <c r="C807" s="18">
        <f t="shared" si="52"/>
        <v>47018.47</v>
      </c>
      <c r="D807" s="18"/>
      <c r="E807" s="18">
        <v>47018.47</v>
      </c>
      <c r="F807" s="18"/>
      <c r="G807" s="18"/>
      <c r="H807" s="18"/>
      <c r="I807" s="18"/>
      <c r="J807" s="18"/>
      <c r="K807" s="18"/>
      <c r="L807" s="10"/>
      <c r="M807" s="18"/>
      <c r="N807" s="10"/>
      <c r="O807" s="18"/>
      <c r="P807" s="18"/>
      <c r="Q807" s="18"/>
      <c r="R807" s="18"/>
      <c r="S807" s="18"/>
    </row>
    <row r="808" spans="1:19" x14ac:dyDescent="0.25">
      <c r="A808" s="9" t="s">
        <v>1586</v>
      </c>
      <c r="B808" s="17" t="s">
        <v>1589</v>
      </c>
      <c r="C808" s="18">
        <f t="shared" si="52"/>
        <v>248674.97</v>
      </c>
      <c r="D808" s="18"/>
      <c r="E808" s="18">
        <v>248674.97</v>
      </c>
      <c r="F808" s="18"/>
      <c r="G808" s="18"/>
      <c r="H808" s="18"/>
      <c r="I808" s="18"/>
      <c r="J808" s="18"/>
      <c r="K808" s="18"/>
      <c r="L808" s="10"/>
      <c r="M808" s="18"/>
      <c r="N808" s="10"/>
      <c r="O808" s="18"/>
      <c r="P808" s="18"/>
      <c r="Q808" s="18"/>
      <c r="R808" s="18"/>
      <c r="S808" s="18"/>
    </row>
    <row r="809" spans="1:19" x14ac:dyDescent="0.25">
      <c r="A809" s="9" t="s">
        <v>1588</v>
      </c>
      <c r="B809" s="17" t="s">
        <v>1591</v>
      </c>
      <c r="C809" s="18">
        <f t="shared" si="52"/>
        <v>98022.94</v>
      </c>
      <c r="D809" s="18"/>
      <c r="E809" s="18">
        <v>98022.94</v>
      </c>
      <c r="F809" s="18"/>
      <c r="G809" s="18"/>
      <c r="H809" s="18"/>
      <c r="I809" s="18"/>
      <c r="J809" s="18"/>
      <c r="K809" s="18"/>
      <c r="L809" s="10"/>
      <c r="M809" s="18"/>
      <c r="N809" s="10"/>
      <c r="O809" s="18"/>
      <c r="P809" s="18"/>
      <c r="Q809" s="18"/>
      <c r="R809" s="18"/>
      <c r="S809" s="18"/>
    </row>
    <row r="810" spans="1:19" x14ac:dyDescent="0.25">
      <c r="A810" s="9" t="s">
        <v>1590</v>
      </c>
      <c r="B810" s="17" t="s">
        <v>1593</v>
      </c>
      <c r="C810" s="18">
        <f t="shared" si="52"/>
        <v>121510</v>
      </c>
      <c r="D810" s="18"/>
      <c r="E810" s="18">
        <v>121510</v>
      </c>
      <c r="F810" s="18"/>
      <c r="G810" s="18"/>
      <c r="H810" s="18"/>
      <c r="I810" s="18"/>
      <c r="J810" s="18"/>
      <c r="K810" s="18"/>
      <c r="L810" s="10"/>
      <c r="M810" s="18"/>
      <c r="N810" s="10"/>
      <c r="O810" s="18"/>
      <c r="P810" s="18"/>
      <c r="Q810" s="18"/>
      <c r="R810" s="18"/>
      <c r="S810" s="18"/>
    </row>
    <row r="811" spans="1:19" x14ac:dyDescent="0.25">
      <c r="A811" s="9" t="s">
        <v>1592</v>
      </c>
      <c r="B811" s="17" t="s">
        <v>1595</v>
      </c>
      <c r="C811" s="18">
        <f t="shared" si="52"/>
        <v>121639.18</v>
      </c>
      <c r="D811" s="18"/>
      <c r="E811" s="18">
        <v>121639.18</v>
      </c>
      <c r="F811" s="18"/>
      <c r="G811" s="18"/>
      <c r="H811" s="18"/>
      <c r="I811" s="18"/>
      <c r="J811" s="18"/>
      <c r="K811" s="18"/>
      <c r="L811" s="10"/>
      <c r="M811" s="18"/>
      <c r="N811" s="10"/>
      <c r="O811" s="18"/>
      <c r="P811" s="18"/>
      <c r="Q811" s="18"/>
      <c r="R811" s="18"/>
      <c r="S811" s="18"/>
    </row>
    <row r="812" spans="1:19" x14ac:dyDescent="0.25">
      <c r="A812" s="9" t="s">
        <v>1594</v>
      </c>
      <c r="B812" s="17" t="s">
        <v>1597</v>
      </c>
      <c r="C812" s="18">
        <f t="shared" si="52"/>
        <v>551333.55000000005</v>
      </c>
      <c r="D812" s="18"/>
      <c r="E812" s="18">
        <v>551333.55000000005</v>
      </c>
      <c r="F812" s="18"/>
      <c r="G812" s="18"/>
      <c r="H812" s="18"/>
      <c r="I812" s="18"/>
      <c r="J812" s="18"/>
      <c r="K812" s="18"/>
      <c r="L812" s="10"/>
      <c r="M812" s="18"/>
      <c r="N812" s="10"/>
      <c r="O812" s="18"/>
      <c r="P812" s="18"/>
      <c r="Q812" s="18"/>
      <c r="R812" s="18"/>
      <c r="S812" s="18"/>
    </row>
    <row r="813" spans="1:19" x14ac:dyDescent="0.25">
      <c r="A813" s="9" t="s">
        <v>1596</v>
      </c>
      <c r="B813" s="17" t="s">
        <v>1599</v>
      </c>
      <c r="C813" s="18">
        <f t="shared" si="52"/>
        <v>227732.47</v>
      </c>
      <c r="D813" s="18"/>
      <c r="E813" s="18">
        <v>227732.47</v>
      </c>
      <c r="F813" s="18"/>
      <c r="G813" s="18"/>
      <c r="H813" s="18"/>
      <c r="I813" s="18"/>
      <c r="J813" s="18"/>
      <c r="K813" s="18"/>
      <c r="L813" s="10"/>
      <c r="M813" s="18"/>
      <c r="N813" s="10"/>
      <c r="O813" s="18"/>
      <c r="P813" s="18"/>
      <c r="Q813" s="18"/>
      <c r="R813" s="18"/>
      <c r="S813" s="18"/>
    </row>
    <row r="814" spans="1:19" x14ac:dyDescent="0.25">
      <c r="A814" s="9" t="s">
        <v>1598</v>
      </c>
      <c r="B814" s="17" t="s">
        <v>1601</v>
      </c>
      <c r="C814" s="18">
        <f t="shared" si="52"/>
        <v>415103.07</v>
      </c>
      <c r="D814" s="18"/>
      <c r="E814" s="18">
        <v>415103.07</v>
      </c>
      <c r="F814" s="18"/>
      <c r="G814" s="18"/>
      <c r="H814" s="18"/>
      <c r="I814" s="18"/>
      <c r="J814" s="18"/>
      <c r="K814" s="18"/>
      <c r="L814" s="10"/>
      <c r="M814" s="18"/>
      <c r="N814" s="10"/>
      <c r="O814" s="18"/>
      <c r="P814" s="18"/>
      <c r="Q814" s="18"/>
      <c r="R814" s="18"/>
      <c r="S814" s="18"/>
    </row>
    <row r="815" spans="1:19" x14ac:dyDescent="0.25">
      <c r="A815" s="9" t="s">
        <v>1600</v>
      </c>
      <c r="B815" s="17" t="s">
        <v>1603</v>
      </c>
      <c r="C815" s="18">
        <f t="shared" si="52"/>
        <v>186860.21</v>
      </c>
      <c r="D815" s="18"/>
      <c r="E815" s="18">
        <v>186860.21</v>
      </c>
      <c r="F815" s="18"/>
      <c r="G815" s="18"/>
      <c r="H815" s="18"/>
      <c r="I815" s="18"/>
      <c r="J815" s="18"/>
      <c r="K815" s="18"/>
      <c r="L815" s="10"/>
      <c r="M815" s="18"/>
      <c r="N815" s="10"/>
      <c r="O815" s="18"/>
      <c r="P815" s="18"/>
      <c r="Q815" s="18"/>
      <c r="R815" s="18"/>
      <c r="S815" s="18"/>
    </row>
    <row r="816" spans="1:19" x14ac:dyDescent="0.25">
      <c r="A816" s="9" t="s">
        <v>1602</v>
      </c>
      <c r="B816" s="17" t="s">
        <v>1605</v>
      </c>
      <c r="C816" s="18">
        <f>ROUNDUP(SUM(D816+E816+F816+G816+H816+I816+J816+K816+M816+O816+P816+Q816+R816+S816),2)</f>
        <v>18897003.34</v>
      </c>
      <c r="D816" s="18">
        <v>3728.15</v>
      </c>
      <c r="E816" s="18">
        <v>252544.42</v>
      </c>
      <c r="F816" s="18"/>
      <c r="G816" s="18"/>
      <c r="H816" s="18"/>
      <c r="I816" s="18"/>
      <c r="J816" s="18"/>
      <c r="K816" s="18"/>
      <c r="L816" s="10"/>
      <c r="M816" s="18"/>
      <c r="N816" s="10" t="s">
        <v>883</v>
      </c>
      <c r="O816" s="18">
        <v>18640730.77</v>
      </c>
      <c r="P816" s="18"/>
      <c r="Q816" s="18"/>
      <c r="R816" s="18"/>
      <c r="S816" s="18"/>
    </row>
    <row r="817" spans="1:19" x14ac:dyDescent="0.25">
      <c r="A817" s="9" t="s">
        <v>1604</v>
      </c>
      <c r="B817" s="17" t="s">
        <v>1607</v>
      </c>
      <c r="C817" s="18">
        <f t="shared" si="52"/>
        <v>112089.84</v>
      </c>
      <c r="D817" s="18"/>
      <c r="E817" s="18">
        <v>112089.84</v>
      </c>
      <c r="F817" s="18"/>
      <c r="G817" s="18"/>
      <c r="H817" s="18"/>
      <c r="I817" s="18"/>
      <c r="J817" s="18"/>
      <c r="K817" s="18"/>
      <c r="L817" s="10"/>
      <c r="M817" s="18"/>
      <c r="N817" s="10"/>
      <c r="O817" s="18"/>
      <c r="P817" s="18"/>
      <c r="Q817" s="18"/>
      <c r="R817" s="18"/>
      <c r="S817" s="18"/>
    </row>
    <row r="818" spans="1:19" x14ac:dyDescent="0.25">
      <c r="A818" s="9" t="s">
        <v>1606</v>
      </c>
      <c r="B818" s="17" t="s">
        <v>1609</v>
      </c>
      <c r="C818" s="18">
        <f t="shared" si="52"/>
        <v>177454.54</v>
      </c>
      <c r="D818" s="18"/>
      <c r="E818" s="18">
        <v>177454.54</v>
      </c>
      <c r="F818" s="18"/>
      <c r="G818" s="18"/>
      <c r="H818" s="18"/>
      <c r="I818" s="18"/>
      <c r="J818" s="18"/>
      <c r="K818" s="18"/>
      <c r="L818" s="10"/>
      <c r="M818" s="18"/>
      <c r="N818" s="10"/>
      <c r="O818" s="18"/>
      <c r="P818" s="18"/>
      <c r="Q818" s="18"/>
      <c r="R818" s="18"/>
      <c r="S818" s="18"/>
    </row>
    <row r="819" spans="1:19" x14ac:dyDescent="0.25">
      <c r="A819" s="9" t="s">
        <v>1608</v>
      </c>
      <c r="B819" s="17" t="s">
        <v>1611</v>
      </c>
      <c r="C819" s="18">
        <f t="shared" si="52"/>
        <v>355241.35</v>
      </c>
      <c r="D819" s="18"/>
      <c r="E819" s="18">
        <v>355241.35</v>
      </c>
      <c r="F819" s="18"/>
      <c r="G819" s="18"/>
      <c r="H819" s="18"/>
      <c r="I819" s="18"/>
      <c r="J819" s="18"/>
      <c r="K819" s="18"/>
      <c r="L819" s="10"/>
      <c r="M819" s="18"/>
      <c r="N819" s="10"/>
      <c r="O819" s="18"/>
      <c r="P819" s="18"/>
      <c r="Q819" s="18"/>
      <c r="R819" s="18"/>
      <c r="S819" s="18"/>
    </row>
    <row r="820" spans="1:19" x14ac:dyDescent="0.25">
      <c r="A820" s="9" t="s">
        <v>1610</v>
      </c>
      <c r="B820" s="17" t="s">
        <v>1613</v>
      </c>
      <c r="C820" s="18">
        <f t="shared" si="52"/>
        <v>127816.38</v>
      </c>
      <c r="D820" s="18"/>
      <c r="E820" s="18">
        <v>127816.38</v>
      </c>
      <c r="F820" s="18"/>
      <c r="G820" s="18"/>
      <c r="H820" s="42"/>
      <c r="I820" s="42"/>
      <c r="J820" s="18"/>
      <c r="K820" s="18"/>
      <c r="L820" s="10"/>
      <c r="M820" s="18"/>
      <c r="N820" s="10"/>
      <c r="O820" s="18"/>
      <c r="P820" s="18"/>
      <c r="Q820" s="18"/>
      <c r="R820" s="18"/>
      <c r="S820" s="18"/>
    </row>
    <row r="821" spans="1:19" x14ac:dyDescent="0.25">
      <c r="A821" s="9" t="s">
        <v>1612</v>
      </c>
      <c r="B821" s="17" t="s">
        <v>1615</v>
      </c>
      <c r="C821" s="18">
        <f t="shared" si="52"/>
        <v>254166.02</v>
      </c>
      <c r="D821" s="18"/>
      <c r="E821" s="18">
        <v>254166.02</v>
      </c>
      <c r="F821" s="18"/>
      <c r="G821" s="18"/>
      <c r="H821" s="18"/>
      <c r="I821" s="18"/>
      <c r="J821" s="18"/>
      <c r="K821" s="18"/>
      <c r="L821" s="10"/>
      <c r="M821" s="18"/>
      <c r="N821" s="10"/>
      <c r="O821" s="18"/>
      <c r="P821" s="18"/>
      <c r="Q821" s="18"/>
      <c r="R821" s="18"/>
      <c r="S821" s="18"/>
    </row>
    <row r="822" spans="1:19" x14ac:dyDescent="0.25">
      <c r="A822" s="9" t="s">
        <v>1614</v>
      </c>
      <c r="B822" s="17" t="s">
        <v>1617</v>
      </c>
      <c r="C822" s="18">
        <f>ROUNDUP(SUM(D822+E822+F822+G822+H822+I822+J822+K822+M822+O822+P822+Q822+R822+S822),2)</f>
        <v>981298.13</v>
      </c>
      <c r="D822" s="18">
        <v>9975.48</v>
      </c>
      <c r="E822" s="18"/>
      <c r="F822" s="18"/>
      <c r="G822" s="18">
        <v>971322.65</v>
      </c>
      <c r="H822" s="18"/>
      <c r="I822" s="18"/>
      <c r="J822" s="18"/>
      <c r="K822" s="18"/>
      <c r="L822" s="10"/>
      <c r="M822" s="18"/>
      <c r="N822" s="10"/>
      <c r="O822" s="18"/>
      <c r="P822" s="18"/>
      <c r="Q822" s="18"/>
      <c r="R822" s="18"/>
      <c r="S822" s="18"/>
    </row>
    <row r="823" spans="1:19" x14ac:dyDescent="0.25">
      <c r="A823" s="9" t="s">
        <v>1616</v>
      </c>
      <c r="B823" s="17" t="s">
        <v>1619</v>
      </c>
      <c r="C823" s="18">
        <f t="shared" si="52"/>
        <v>43293.67</v>
      </c>
      <c r="D823" s="18"/>
      <c r="E823" s="18">
        <v>43293.67</v>
      </c>
      <c r="F823" s="18"/>
      <c r="G823" s="18"/>
      <c r="H823" s="18"/>
      <c r="I823" s="18"/>
      <c r="J823" s="18"/>
      <c r="K823" s="18"/>
      <c r="L823" s="10"/>
      <c r="M823" s="18"/>
      <c r="N823" s="10"/>
      <c r="O823" s="18"/>
      <c r="P823" s="18"/>
      <c r="Q823" s="18"/>
      <c r="R823" s="18"/>
      <c r="S823" s="18"/>
    </row>
    <row r="824" spans="1:19" x14ac:dyDescent="0.25">
      <c r="A824" s="9" t="s">
        <v>1618</v>
      </c>
      <c r="B824" s="17" t="s">
        <v>1621</v>
      </c>
      <c r="C824" s="18">
        <f t="shared" si="52"/>
        <v>173041.86</v>
      </c>
      <c r="D824" s="18"/>
      <c r="E824" s="18">
        <v>173041.86</v>
      </c>
      <c r="F824" s="18"/>
      <c r="G824" s="18"/>
      <c r="H824" s="18"/>
      <c r="I824" s="18"/>
      <c r="J824" s="18"/>
      <c r="K824" s="18"/>
      <c r="L824" s="10"/>
      <c r="M824" s="18"/>
      <c r="N824" s="10"/>
      <c r="O824" s="18"/>
      <c r="P824" s="18"/>
      <c r="Q824" s="18"/>
      <c r="R824" s="18"/>
      <c r="S824" s="18"/>
    </row>
    <row r="825" spans="1:19" x14ac:dyDescent="0.25">
      <c r="A825" s="9" t="s">
        <v>1620</v>
      </c>
      <c r="B825" s="17" t="s">
        <v>1623</v>
      </c>
      <c r="C825" s="18">
        <f t="shared" si="52"/>
        <v>116832.92</v>
      </c>
      <c r="D825" s="18"/>
      <c r="E825" s="18">
        <v>116832.92</v>
      </c>
      <c r="F825" s="18"/>
      <c r="G825" s="18"/>
      <c r="H825" s="18"/>
      <c r="I825" s="18"/>
      <c r="J825" s="18"/>
      <c r="K825" s="18"/>
      <c r="L825" s="10"/>
      <c r="M825" s="18"/>
      <c r="N825" s="10"/>
      <c r="O825" s="18"/>
      <c r="P825" s="18"/>
      <c r="Q825" s="18"/>
      <c r="R825" s="18"/>
      <c r="S825" s="18"/>
    </row>
    <row r="826" spans="1:19" x14ac:dyDescent="0.25">
      <c r="A826" s="9" t="s">
        <v>1622</v>
      </c>
      <c r="B826" s="17" t="s">
        <v>1625</v>
      </c>
      <c r="C826" s="18">
        <f t="shared" si="52"/>
        <v>115411.24</v>
      </c>
      <c r="D826" s="18"/>
      <c r="E826" s="18">
        <v>115411.24</v>
      </c>
      <c r="F826" s="18"/>
      <c r="G826" s="18"/>
      <c r="H826" s="18"/>
      <c r="I826" s="18"/>
      <c r="J826" s="18"/>
      <c r="K826" s="18"/>
      <c r="L826" s="10"/>
      <c r="M826" s="18"/>
      <c r="N826" s="10"/>
      <c r="O826" s="18"/>
      <c r="P826" s="18"/>
      <c r="Q826" s="18"/>
      <c r="R826" s="18"/>
      <c r="S826" s="18"/>
    </row>
    <row r="827" spans="1:19" x14ac:dyDescent="0.25">
      <c r="A827" s="9" t="s">
        <v>1624</v>
      </c>
      <c r="B827" s="17" t="s">
        <v>1627</v>
      </c>
      <c r="C827" s="18">
        <f t="shared" si="52"/>
        <v>284992.68</v>
      </c>
      <c r="D827" s="18"/>
      <c r="E827" s="18">
        <v>284992.68</v>
      </c>
      <c r="F827" s="18"/>
      <c r="G827" s="18"/>
      <c r="H827" s="18"/>
      <c r="I827" s="18"/>
      <c r="J827" s="18"/>
      <c r="K827" s="18"/>
      <c r="L827" s="10"/>
      <c r="M827" s="18"/>
      <c r="N827" s="10"/>
      <c r="O827" s="18"/>
      <c r="P827" s="18"/>
      <c r="Q827" s="18"/>
      <c r="R827" s="18"/>
      <c r="S827" s="18"/>
    </row>
    <row r="828" spans="1:19" x14ac:dyDescent="0.25">
      <c r="A828" s="9" t="s">
        <v>1626</v>
      </c>
      <c r="B828" s="17" t="s">
        <v>1629</v>
      </c>
      <c r="C828" s="18">
        <f t="shared" ref="C828:C840" si="53">ROUNDUP(SUM(D828+E828+F828+G828+H828+I828+J828+K828+M828+O828+P828+Q828+R828+S828),2)</f>
        <v>427111.17</v>
      </c>
      <c r="D828" s="18"/>
      <c r="E828" s="18">
        <v>427111.17</v>
      </c>
      <c r="F828" s="18"/>
      <c r="G828" s="18"/>
      <c r="H828" s="18"/>
      <c r="I828" s="18"/>
      <c r="J828" s="18"/>
      <c r="K828" s="18"/>
      <c r="L828" s="10"/>
      <c r="M828" s="18"/>
      <c r="N828" s="10"/>
      <c r="O828" s="18"/>
      <c r="P828" s="18"/>
      <c r="Q828" s="18"/>
      <c r="R828" s="18"/>
      <c r="S828" s="18"/>
    </row>
    <row r="829" spans="1:19" x14ac:dyDescent="0.25">
      <c r="A829" s="9" t="s">
        <v>1628</v>
      </c>
      <c r="B829" s="17" t="s">
        <v>1631</v>
      </c>
      <c r="C829" s="18">
        <f t="shared" si="53"/>
        <v>405855.98</v>
      </c>
      <c r="D829" s="18"/>
      <c r="E829" s="18">
        <v>405855.98</v>
      </c>
      <c r="F829" s="18"/>
      <c r="G829" s="18"/>
      <c r="H829" s="18"/>
      <c r="I829" s="18"/>
      <c r="J829" s="18"/>
      <c r="K829" s="18"/>
      <c r="L829" s="10"/>
      <c r="M829" s="18"/>
      <c r="N829" s="10"/>
      <c r="O829" s="18"/>
      <c r="P829" s="18"/>
      <c r="Q829" s="18"/>
      <c r="R829" s="18"/>
      <c r="S829" s="18"/>
    </row>
    <row r="830" spans="1:19" x14ac:dyDescent="0.25">
      <c r="A830" s="9" t="s">
        <v>1630</v>
      </c>
      <c r="B830" s="17" t="s">
        <v>1633</v>
      </c>
      <c r="C830" s="18">
        <f t="shared" si="53"/>
        <v>421516.9</v>
      </c>
      <c r="D830" s="18"/>
      <c r="E830" s="18">
        <v>421516.9</v>
      </c>
      <c r="F830" s="18"/>
      <c r="G830" s="18"/>
      <c r="H830" s="18"/>
      <c r="I830" s="18"/>
      <c r="J830" s="18"/>
      <c r="K830" s="18"/>
      <c r="L830" s="10"/>
      <c r="M830" s="18"/>
      <c r="N830" s="10"/>
      <c r="O830" s="18"/>
      <c r="P830" s="18"/>
      <c r="Q830" s="18"/>
      <c r="R830" s="18"/>
      <c r="S830" s="18"/>
    </row>
    <row r="831" spans="1:19" x14ac:dyDescent="0.25">
      <c r="A831" s="9" t="s">
        <v>1632</v>
      </c>
      <c r="B831" s="17" t="s">
        <v>1635</v>
      </c>
      <c r="C831" s="18">
        <f t="shared" si="53"/>
        <v>361487.66</v>
      </c>
      <c r="D831" s="18"/>
      <c r="E831" s="18">
        <v>361487.66</v>
      </c>
      <c r="F831" s="18"/>
      <c r="G831" s="18"/>
      <c r="H831" s="18"/>
      <c r="I831" s="18"/>
      <c r="J831" s="18"/>
      <c r="K831" s="18"/>
      <c r="L831" s="10"/>
      <c r="M831" s="18"/>
      <c r="N831" s="10"/>
      <c r="O831" s="18"/>
      <c r="P831" s="18"/>
      <c r="Q831" s="18"/>
      <c r="R831" s="18"/>
      <c r="S831" s="18"/>
    </row>
    <row r="832" spans="1:19" x14ac:dyDescent="0.25">
      <c r="A832" s="9" t="s">
        <v>1634</v>
      </c>
      <c r="B832" s="17" t="s">
        <v>1637</v>
      </c>
      <c r="C832" s="18">
        <f t="shared" si="53"/>
        <v>223928.27</v>
      </c>
      <c r="D832" s="18"/>
      <c r="E832" s="18">
        <v>223928.27</v>
      </c>
      <c r="F832" s="18"/>
      <c r="G832" s="18"/>
      <c r="H832" s="18"/>
      <c r="I832" s="18"/>
      <c r="J832" s="18"/>
      <c r="K832" s="18"/>
      <c r="L832" s="10"/>
      <c r="M832" s="18"/>
      <c r="N832" s="10"/>
      <c r="O832" s="18"/>
      <c r="P832" s="18"/>
      <c r="Q832" s="18"/>
      <c r="R832" s="18"/>
      <c r="S832" s="18"/>
    </row>
    <row r="833" spans="1:19" x14ac:dyDescent="0.25">
      <c r="A833" s="9" t="s">
        <v>1636</v>
      </c>
      <c r="B833" s="17" t="s">
        <v>1639</v>
      </c>
      <c r="C833" s="18">
        <f t="shared" si="53"/>
        <v>296966.53000000003</v>
      </c>
      <c r="D833" s="18"/>
      <c r="E833" s="18">
        <v>296966.53000000003</v>
      </c>
      <c r="F833" s="18"/>
      <c r="G833" s="18"/>
      <c r="H833" s="18"/>
      <c r="I833" s="18"/>
      <c r="J833" s="18"/>
      <c r="K833" s="18"/>
      <c r="L833" s="10"/>
      <c r="M833" s="18"/>
      <c r="N833" s="10"/>
      <c r="O833" s="18"/>
      <c r="P833" s="18"/>
      <c r="Q833" s="18"/>
      <c r="R833" s="18"/>
      <c r="S833" s="18"/>
    </row>
    <row r="834" spans="1:19" x14ac:dyDescent="0.25">
      <c r="A834" s="9" t="s">
        <v>1638</v>
      </c>
      <c r="B834" s="17" t="s">
        <v>1641</v>
      </c>
      <c r="C834" s="18">
        <f t="shared" si="53"/>
        <v>210156.47</v>
      </c>
      <c r="D834" s="18"/>
      <c r="E834" s="18">
        <v>210156.47</v>
      </c>
      <c r="F834" s="18"/>
      <c r="G834" s="18"/>
      <c r="H834" s="18"/>
      <c r="I834" s="18"/>
      <c r="J834" s="18"/>
      <c r="K834" s="18"/>
      <c r="L834" s="10"/>
      <c r="M834" s="18"/>
      <c r="N834" s="10"/>
      <c r="O834" s="18"/>
      <c r="P834" s="18"/>
      <c r="Q834" s="18"/>
      <c r="R834" s="18"/>
      <c r="S834" s="18"/>
    </row>
    <row r="835" spans="1:19" x14ac:dyDescent="0.25">
      <c r="A835" s="9" t="s">
        <v>1640</v>
      </c>
      <c r="B835" s="17" t="s">
        <v>1643</v>
      </c>
      <c r="C835" s="18">
        <f t="shared" si="53"/>
        <v>247324.72</v>
      </c>
      <c r="D835" s="18"/>
      <c r="E835" s="18">
        <v>247324.72</v>
      </c>
      <c r="F835" s="18"/>
      <c r="G835" s="18"/>
      <c r="H835" s="18"/>
      <c r="I835" s="18"/>
      <c r="J835" s="18"/>
      <c r="K835" s="18"/>
      <c r="L835" s="10"/>
      <c r="M835" s="18"/>
      <c r="N835" s="10"/>
      <c r="O835" s="18"/>
      <c r="P835" s="18"/>
      <c r="Q835" s="18"/>
      <c r="R835" s="18"/>
      <c r="S835" s="18"/>
    </row>
    <row r="836" spans="1:19" x14ac:dyDescent="0.25">
      <c r="A836" s="9" t="s">
        <v>1642</v>
      </c>
      <c r="B836" s="17" t="s">
        <v>1645</v>
      </c>
      <c r="C836" s="18">
        <f t="shared" si="53"/>
        <v>146639.54</v>
      </c>
      <c r="D836" s="18"/>
      <c r="E836" s="18">
        <v>146639.54</v>
      </c>
      <c r="F836" s="18"/>
      <c r="G836" s="18"/>
      <c r="H836" s="18"/>
      <c r="I836" s="18"/>
      <c r="J836" s="18"/>
      <c r="K836" s="18"/>
      <c r="L836" s="10"/>
      <c r="M836" s="18"/>
      <c r="N836" s="10"/>
      <c r="O836" s="18"/>
      <c r="P836" s="18"/>
      <c r="Q836" s="18"/>
      <c r="R836" s="18"/>
      <c r="S836" s="18"/>
    </row>
    <row r="837" spans="1:19" x14ac:dyDescent="0.25">
      <c r="A837" s="9" t="s">
        <v>1644</v>
      </c>
      <c r="B837" s="17" t="s">
        <v>1647</v>
      </c>
      <c r="C837" s="18">
        <f t="shared" si="53"/>
        <v>181282.5</v>
      </c>
      <c r="D837" s="18"/>
      <c r="E837" s="18">
        <v>181282.5</v>
      </c>
      <c r="F837" s="18"/>
      <c r="G837" s="18"/>
      <c r="H837" s="18"/>
      <c r="I837" s="18"/>
      <c r="J837" s="18"/>
      <c r="K837" s="18"/>
      <c r="L837" s="10"/>
      <c r="M837" s="18"/>
      <c r="N837" s="10"/>
      <c r="O837" s="18"/>
      <c r="P837" s="18"/>
      <c r="Q837" s="18"/>
      <c r="R837" s="18"/>
      <c r="S837" s="18"/>
    </row>
    <row r="838" spans="1:19" x14ac:dyDescent="0.25">
      <c r="A838" s="9" t="s">
        <v>1646</v>
      </c>
      <c r="B838" s="17" t="s">
        <v>1649</v>
      </c>
      <c r="C838" s="18">
        <f t="shared" si="53"/>
        <v>253220.05</v>
      </c>
      <c r="D838" s="18"/>
      <c r="E838" s="18">
        <v>253220.05</v>
      </c>
      <c r="F838" s="18"/>
      <c r="G838" s="18"/>
      <c r="H838" s="18"/>
      <c r="I838" s="18"/>
      <c r="J838" s="18"/>
      <c r="K838" s="18"/>
      <c r="L838" s="10"/>
      <c r="M838" s="18"/>
      <c r="N838" s="10"/>
      <c r="O838" s="18"/>
      <c r="P838" s="18"/>
      <c r="Q838" s="18"/>
      <c r="R838" s="18"/>
      <c r="S838" s="18"/>
    </row>
    <row r="839" spans="1:19" x14ac:dyDescent="0.25">
      <c r="A839" s="9" t="s">
        <v>1648</v>
      </c>
      <c r="B839" s="17" t="s">
        <v>1651</v>
      </c>
      <c r="C839" s="18">
        <f t="shared" si="53"/>
        <v>198331.98</v>
      </c>
      <c r="D839" s="18"/>
      <c r="E839" s="18">
        <v>198331.98</v>
      </c>
      <c r="F839" s="18"/>
      <c r="G839" s="18"/>
      <c r="H839" s="18"/>
      <c r="I839" s="18"/>
      <c r="J839" s="18"/>
      <c r="K839" s="18"/>
      <c r="L839" s="10"/>
      <c r="M839" s="18"/>
      <c r="N839" s="10"/>
      <c r="O839" s="18"/>
      <c r="P839" s="18"/>
      <c r="Q839" s="18"/>
      <c r="R839" s="18"/>
      <c r="S839" s="18"/>
    </row>
    <row r="840" spans="1:19" x14ac:dyDescent="0.25">
      <c r="A840" s="9" t="s">
        <v>1650</v>
      </c>
      <c r="B840" s="17" t="s">
        <v>1653</v>
      </c>
      <c r="C840" s="18">
        <f t="shared" si="53"/>
        <v>173045.01</v>
      </c>
      <c r="D840" s="18"/>
      <c r="E840" s="18">
        <v>173045.01</v>
      </c>
      <c r="F840" s="18"/>
      <c r="G840" s="18"/>
      <c r="H840" s="18"/>
      <c r="I840" s="18"/>
      <c r="J840" s="18"/>
      <c r="K840" s="18"/>
      <c r="L840" s="10"/>
      <c r="M840" s="18"/>
      <c r="N840" s="10"/>
      <c r="O840" s="18"/>
      <c r="P840" s="18"/>
      <c r="Q840" s="18"/>
      <c r="R840" s="18"/>
      <c r="S840" s="18"/>
    </row>
    <row r="841" spans="1:19" x14ac:dyDescent="0.25">
      <c r="A841" s="9" t="s">
        <v>1652</v>
      </c>
      <c r="B841" s="43" t="s">
        <v>1655</v>
      </c>
      <c r="C841" s="18">
        <f>ROUND(SUM(D841+E841+F841+G841+H841+I841+J841+K841+M841+O841+P841+Q841+R841+S841),2)</f>
        <v>3065367.42</v>
      </c>
      <c r="D841" s="44">
        <v>19160.64</v>
      </c>
      <c r="E841" s="41"/>
      <c r="F841" s="45"/>
      <c r="G841" s="45">
        <v>1364374.65</v>
      </c>
      <c r="H841" s="45">
        <v>392617.97</v>
      </c>
      <c r="I841" s="45">
        <v>138544.31</v>
      </c>
      <c r="J841" s="45"/>
      <c r="K841" s="41"/>
      <c r="L841" s="32"/>
      <c r="M841" s="41"/>
      <c r="N841" s="41"/>
      <c r="O841" s="41"/>
      <c r="P841" s="41">
        <v>1150669.8500000001</v>
      </c>
      <c r="Q841" s="41"/>
      <c r="R841" s="41"/>
      <c r="S841" s="41"/>
    </row>
    <row r="842" spans="1:19" x14ac:dyDescent="0.25">
      <c r="A842" s="9" t="s">
        <v>1654</v>
      </c>
      <c r="B842" s="43" t="s">
        <v>1657</v>
      </c>
      <c r="C842" s="18">
        <f>ROUND(SUM(D842+E842+F842+G842+H842+I842+J842+K842+M842+O842+P842+Q842+R842+S842),2)</f>
        <v>2780992.03</v>
      </c>
      <c r="D842" s="44">
        <v>17383.099999999999</v>
      </c>
      <c r="E842" s="41"/>
      <c r="F842" s="45"/>
      <c r="G842" s="45">
        <v>1239191.43</v>
      </c>
      <c r="H842" s="45">
        <v>442851.04</v>
      </c>
      <c r="I842" s="45">
        <v>156275.73000000001</v>
      </c>
      <c r="J842" s="45"/>
      <c r="K842" s="41"/>
      <c r="L842" s="32"/>
      <c r="M842" s="41"/>
      <c r="N842" s="41"/>
      <c r="O842" s="41"/>
      <c r="P842" s="41">
        <v>925290.73</v>
      </c>
      <c r="Q842" s="41"/>
      <c r="R842" s="41"/>
      <c r="S842" s="41"/>
    </row>
    <row r="843" spans="1:19" x14ac:dyDescent="0.25">
      <c r="A843" s="9" t="s">
        <v>1656</v>
      </c>
      <c r="B843" s="17" t="s">
        <v>1659</v>
      </c>
      <c r="C843" s="18">
        <f>ROUNDUP(SUM(D843+E843+F843+G843+H843+I843+J843+K843+M843+O843+P843+Q843+R843+S843),2)</f>
        <v>143616.88</v>
      </c>
      <c r="D843" s="18"/>
      <c r="E843" s="18">
        <v>143616.88</v>
      </c>
      <c r="F843" s="18"/>
      <c r="G843" s="18"/>
      <c r="H843" s="18"/>
      <c r="I843" s="18"/>
      <c r="J843" s="18"/>
      <c r="K843" s="18"/>
      <c r="L843" s="10"/>
      <c r="M843" s="18"/>
      <c r="N843" s="10"/>
      <c r="O843" s="18"/>
      <c r="P843" s="18"/>
      <c r="Q843" s="18"/>
      <c r="R843" s="18"/>
      <c r="S843" s="18"/>
    </row>
    <row r="844" spans="1:19" x14ac:dyDescent="0.25">
      <c r="A844" s="9" t="s">
        <v>1658</v>
      </c>
      <c r="B844" s="17" t="s">
        <v>1661</v>
      </c>
      <c r="C844" s="18">
        <f>ROUNDUP(SUM(D844+E844+F844+G844+H844+I844+J844+K844+M844+O844+P844+Q844+R844+S844),2)</f>
        <v>150984.21</v>
      </c>
      <c r="D844" s="39"/>
      <c r="E844" s="30">
        <v>150984.21</v>
      </c>
      <c r="F844" s="30"/>
      <c r="G844" s="30"/>
      <c r="H844" s="30"/>
      <c r="I844" s="30"/>
      <c r="J844" s="30"/>
      <c r="K844" s="30"/>
      <c r="L844" s="31"/>
      <c r="M844" s="30"/>
      <c r="N844" s="31"/>
      <c r="O844" s="30"/>
      <c r="P844" s="30"/>
      <c r="Q844" s="18"/>
      <c r="R844" s="30"/>
      <c r="S844" s="30"/>
    </row>
    <row r="845" spans="1:19" x14ac:dyDescent="0.25">
      <c r="A845" s="9" t="s">
        <v>1660</v>
      </c>
      <c r="B845" s="43" t="s">
        <v>1663</v>
      </c>
      <c r="C845" s="18">
        <f>ROUND(SUM(D845+E845+F845+G845+H845+I845+J845+K845+M845+O845+P845+Q845+R845+S845),2)</f>
        <v>2577809.73</v>
      </c>
      <c r="D845" s="39">
        <v>16113.07</v>
      </c>
      <c r="E845" s="40"/>
      <c r="F845" s="42"/>
      <c r="G845" s="42">
        <v>1572363.9</v>
      </c>
      <c r="H845" s="42">
        <v>845739.53</v>
      </c>
      <c r="I845" s="42">
        <v>143593.23000000001</v>
      </c>
      <c r="J845" s="42"/>
      <c r="K845" s="40"/>
      <c r="L845" s="28"/>
      <c r="M845" s="40"/>
      <c r="N845" s="40"/>
      <c r="O845" s="40"/>
      <c r="P845" s="40"/>
      <c r="Q845" s="41"/>
      <c r="R845" s="40"/>
      <c r="S845" s="40"/>
    </row>
    <row r="846" spans="1:19" x14ac:dyDescent="0.25">
      <c r="A846" s="9" t="s">
        <v>1662</v>
      </c>
      <c r="B846" s="17" t="s">
        <v>1665</v>
      </c>
      <c r="C846" s="18">
        <f>ROUNDUP(SUM(D846+E846+F846+G846+H846+I846+J846+K846+M846+O846+P846+Q846+R846+S846),2)</f>
        <v>129254.57</v>
      </c>
      <c r="D846" s="18"/>
      <c r="E846" s="18">
        <v>129254.57</v>
      </c>
      <c r="F846" s="18"/>
      <c r="G846" s="18"/>
      <c r="H846" s="18"/>
      <c r="I846" s="18"/>
      <c r="J846" s="18"/>
      <c r="K846" s="18"/>
      <c r="L846" s="10"/>
      <c r="M846" s="18"/>
      <c r="N846" s="10"/>
      <c r="O846" s="18"/>
      <c r="P846" s="18"/>
      <c r="Q846" s="18"/>
      <c r="R846" s="18"/>
      <c r="S846" s="18"/>
    </row>
    <row r="847" spans="1:19" x14ac:dyDescent="0.25">
      <c r="A847" s="9" t="s">
        <v>1664</v>
      </c>
      <c r="B847" s="17" t="s">
        <v>1667</v>
      </c>
      <c r="C847" s="18">
        <f>ROUNDUP(SUM(D847+E847+F847+G847+H847+I847+J847+K847+M847+O847+P847+Q847+R847+S847),2)</f>
        <v>137618.95000000001</v>
      </c>
      <c r="D847" s="30"/>
      <c r="E847" s="30">
        <v>137618.95000000001</v>
      </c>
      <c r="F847" s="30"/>
      <c r="G847" s="30"/>
      <c r="H847" s="30"/>
      <c r="I847" s="30"/>
      <c r="J847" s="30"/>
      <c r="K847" s="30"/>
      <c r="L847" s="31"/>
      <c r="M847" s="30"/>
      <c r="N847" s="31"/>
      <c r="O847" s="30"/>
      <c r="P847" s="30"/>
      <c r="Q847" s="18"/>
      <c r="R847" s="30"/>
      <c r="S847" s="30"/>
    </row>
    <row r="848" spans="1:19" x14ac:dyDescent="0.25">
      <c r="A848" s="9" t="s">
        <v>1666</v>
      </c>
      <c r="B848" s="43" t="s">
        <v>1669</v>
      </c>
      <c r="C848" s="18">
        <f>ROUND(SUM(D848+E848+F848+G848+H848+I848+J848+K848+M848+O848+P848+Q848+R848+S848),2)</f>
        <v>3209242.45</v>
      </c>
      <c r="D848" s="44">
        <v>19351.28</v>
      </c>
      <c r="E848" s="18">
        <v>113377.47</v>
      </c>
      <c r="F848" s="45"/>
      <c r="G848" s="45">
        <v>1142476.23</v>
      </c>
      <c r="H848" s="45">
        <v>479232.09</v>
      </c>
      <c r="I848" s="45">
        <v>166307.68</v>
      </c>
      <c r="J848" s="45"/>
      <c r="K848" s="41"/>
      <c r="L848" s="32"/>
      <c r="M848" s="41"/>
      <c r="N848" s="41"/>
      <c r="O848" s="41"/>
      <c r="P848" s="41">
        <v>1288497.7</v>
      </c>
      <c r="Q848" s="41"/>
      <c r="R848" s="41"/>
      <c r="S848" s="41"/>
    </row>
    <row r="849" spans="1:19" x14ac:dyDescent="0.25">
      <c r="A849" s="9" t="s">
        <v>1668</v>
      </c>
      <c r="B849" s="43" t="s">
        <v>1671</v>
      </c>
      <c r="C849" s="18">
        <f>ROUND(SUM(D849+E849+F849+G849+H849+I849+J849+K849+M849+O849+P849+Q849+R849+S849),2)</f>
        <v>6872139.3399999999</v>
      </c>
      <c r="D849" s="39">
        <v>41746.089999999997</v>
      </c>
      <c r="E849" s="30">
        <v>193494.39999999999</v>
      </c>
      <c r="F849" s="42"/>
      <c r="G849" s="42">
        <v>1430047.43</v>
      </c>
      <c r="H849" s="42">
        <v>532573.91</v>
      </c>
      <c r="I849" s="42">
        <v>163101.1</v>
      </c>
      <c r="J849" s="42"/>
      <c r="K849" s="40"/>
      <c r="L849" s="28"/>
      <c r="M849" s="40"/>
      <c r="N849" s="40" t="s">
        <v>355</v>
      </c>
      <c r="O849" s="40">
        <v>4511176.41</v>
      </c>
      <c r="P849" s="40"/>
      <c r="Q849" s="41"/>
      <c r="R849" s="40"/>
      <c r="S849" s="40"/>
    </row>
    <row r="850" spans="1:19" x14ac:dyDescent="0.25">
      <c r="A850" s="9" t="s">
        <v>1670</v>
      </c>
      <c r="B850" s="17" t="s">
        <v>1673</v>
      </c>
      <c r="C850" s="18">
        <f t="shared" ref="C850:C856" si="54">ROUNDUP(SUM(D850+E850+F850+G850+H850+I850+J850+K850+M850+O850+P850+Q850+R850+S850),2)</f>
        <v>177501.82</v>
      </c>
      <c r="D850" s="18"/>
      <c r="E850" s="18">
        <v>177501.82</v>
      </c>
      <c r="F850" s="18"/>
      <c r="G850" s="18"/>
      <c r="H850" s="18"/>
      <c r="I850" s="18"/>
      <c r="J850" s="18"/>
      <c r="K850" s="18"/>
      <c r="L850" s="10"/>
      <c r="M850" s="18"/>
      <c r="N850" s="10"/>
      <c r="O850" s="18"/>
      <c r="P850" s="18"/>
      <c r="Q850" s="18"/>
      <c r="R850" s="18"/>
      <c r="S850" s="18"/>
    </row>
    <row r="851" spans="1:19" x14ac:dyDescent="0.25">
      <c r="A851" s="9" t="s">
        <v>1672</v>
      </c>
      <c r="B851" s="17" t="s">
        <v>1675</v>
      </c>
      <c r="C851" s="18">
        <f t="shared" si="54"/>
        <v>422997.43</v>
      </c>
      <c r="D851" s="30"/>
      <c r="E851" s="18">
        <v>422997.43</v>
      </c>
      <c r="F851" s="30"/>
      <c r="G851" s="30"/>
      <c r="H851" s="30"/>
      <c r="I851" s="30"/>
      <c r="J851" s="30"/>
      <c r="K851" s="30"/>
      <c r="L851" s="31"/>
      <c r="M851" s="30"/>
      <c r="N851" s="31"/>
      <c r="O851" s="30"/>
      <c r="P851" s="30"/>
      <c r="Q851" s="18"/>
      <c r="R851" s="30"/>
      <c r="S851" s="30"/>
    </row>
    <row r="852" spans="1:19" ht="15" customHeight="1" x14ac:dyDescent="0.25">
      <c r="A852" s="9" t="s">
        <v>1674</v>
      </c>
      <c r="B852" s="17" t="s">
        <v>1677</v>
      </c>
      <c r="C852" s="18">
        <f>ROUNDUP(SUM(D852+E852+F852+G852+H852+I852+J852+K852+M852+O852+P852+Q852+R852+S852),2)</f>
        <v>2404187.48</v>
      </c>
      <c r="D852" s="39">
        <v>18647.580000000002</v>
      </c>
      <c r="E852" s="18">
        <v>63445.72</v>
      </c>
      <c r="F852" s="30"/>
      <c r="G852" s="30">
        <v>2322094.1800000002</v>
      </c>
      <c r="H852" s="30"/>
      <c r="I852" s="30"/>
      <c r="J852" s="30"/>
      <c r="K852" s="30"/>
      <c r="L852" s="31"/>
      <c r="M852" s="30"/>
      <c r="N852" s="31"/>
      <c r="O852" s="30"/>
      <c r="P852" s="30"/>
      <c r="Q852" s="18"/>
      <c r="R852" s="30"/>
      <c r="S852" s="30"/>
    </row>
    <row r="853" spans="1:19" x14ac:dyDescent="0.25">
      <c r="A853" s="9" t="s">
        <v>1676</v>
      </c>
      <c r="B853" s="17" t="s">
        <v>1679</v>
      </c>
      <c r="C853" s="18">
        <f t="shared" si="54"/>
        <v>65761.649999999994</v>
      </c>
      <c r="D853" s="18"/>
      <c r="E853" s="18">
        <v>65761.649999999994</v>
      </c>
      <c r="F853" s="18"/>
      <c r="G853" s="18"/>
      <c r="H853" s="18"/>
      <c r="I853" s="18"/>
      <c r="J853" s="18"/>
      <c r="K853" s="18"/>
      <c r="L853" s="10"/>
      <c r="M853" s="18"/>
      <c r="N853" s="10"/>
      <c r="O853" s="18"/>
      <c r="P853" s="18"/>
      <c r="Q853" s="18"/>
      <c r="R853" s="18"/>
      <c r="S853" s="18"/>
    </row>
    <row r="854" spans="1:19" x14ac:dyDescent="0.25">
      <c r="A854" s="9" t="s">
        <v>1678</v>
      </c>
      <c r="B854" s="17" t="s">
        <v>1681</v>
      </c>
      <c r="C854" s="18">
        <f t="shared" si="54"/>
        <v>197785.55</v>
      </c>
      <c r="D854" s="18"/>
      <c r="E854" s="18">
        <v>197785.55</v>
      </c>
      <c r="F854" s="18"/>
      <c r="G854" s="18"/>
      <c r="H854" s="18"/>
      <c r="I854" s="18"/>
      <c r="J854" s="18"/>
      <c r="K854" s="18"/>
      <c r="L854" s="10"/>
      <c r="M854" s="18"/>
      <c r="N854" s="10"/>
      <c r="O854" s="18"/>
      <c r="P854" s="18"/>
      <c r="Q854" s="18"/>
      <c r="R854" s="18"/>
      <c r="S854" s="18"/>
    </row>
    <row r="855" spans="1:19" x14ac:dyDescent="0.25">
      <c r="A855" s="9" t="s">
        <v>1680</v>
      </c>
      <c r="B855" s="17" t="s">
        <v>1683</v>
      </c>
      <c r="C855" s="18">
        <f t="shared" si="54"/>
        <v>159849.66</v>
      </c>
      <c r="D855" s="18"/>
      <c r="E855" s="18">
        <v>159849.66</v>
      </c>
      <c r="F855" s="18"/>
      <c r="G855" s="18"/>
      <c r="H855" s="18"/>
      <c r="I855" s="18"/>
      <c r="J855" s="18"/>
      <c r="K855" s="18"/>
      <c r="L855" s="10"/>
      <c r="M855" s="18"/>
      <c r="N855" s="10"/>
      <c r="O855" s="18"/>
      <c r="P855" s="18"/>
      <c r="Q855" s="18"/>
      <c r="R855" s="18"/>
      <c r="S855" s="18"/>
    </row>
    <row r="856" spans="1:19" x14ac:dyDescent="0.25">
      <c r="A856" s="9" t="s">
        <v>1682</v>
      </c>
      <c r="B856" s="17" t="s">
        <v>1685</v>
      </c>
      <c r="C856" s="18">
        <f t="shared" si="54"/>
        <v>110677.6</v>
      </c>
      <c r="D856" s="18"/>
      <c r="E856" s="18">
        <v>110677.6</v>
      </c>
      <c r="F856" s="18"/>
      <c r="G856" s="18"/>
      <c r="H856" s="18"/>
      <c r="I856" s="18"/>
      <c r="J856" s="18"/>
      <c r="K856" s="18"/>
      <c r="L856" s="10"/>
      <c r="M856" s="18"/>
      <c r="N856" s="10"/>
      <c r="O856" s="18"/>
      <c r="P856" s="18"/>
      <c r="Q856" s="18"/>
      <c r="R856" s="18"/>
      <c r="S856" s="18"/>
    </row>
    <row r="857" spans="1:19" ht="32.25" customHeight="1" x14ac:dyDescent="0.25">
      <c r="A857" s="33"/>
      <c r="B857" s="33" t="s">
        <v>1686</v>
      </c>
      <c r="C857" s="18">
        <f>ROUND(D857+E857+F857+G857+H857+I857+J857+K857+M857+O857+P857+Q857+R857+S857,2)</f>
        <v>81292582.810000002</v>
      </c>
      <c r="D857" s="18">
        <f t="shared" ref="D857:S857" si="55">SUM(D764:D856)</f>
        <v>252635.64</v>
      </c>
      <c r="E857" s="18">
        <f t="shared" si="55"/>
        <v>18331830.760000002</v>
      </c>
      <c r="F857" s="18">
        <f t="shared" si="55"/>
        <v>0</v>
      </c>
      <c r="G857" s="18">
        <f t="shared" si="55"/>
        <v>21376579.189999998</v>
      </c>
      <c r="H857" s="18">
        <f t="shared" si="55"/>
        <v>4950874.6500000004</v>
      </c>
      <c r="I857" s="18">
        <f t="shared" si="55"/>
        <v>2135313.9099999997</v>
      </c>
      <c r="J857" s="18">
        <f t="shared" si="55"/>
        <v>0</v>
      </c>
      <c r="K857" s="18">
        <f t="shared" si="55"/>
        <v>0</v>
      </c>
      <c r="L857" s="10">
        <f t="shared" si="55"/>
        <v>0</v>
      </c>
      <c r="M857" s="18">
        <f t="shared" si="55"/>
        <v>0</v>
      </c>
      <c r="N857" s="18" t="s">
        <v>42</v>
      </c>
      <c r="O857" s="18">
        <f t="shared" si="55"/>
        <v>23151907.18</v>
      </c>
      <c r="P857" s="18">
        <f t="shared" si="55"/>
        <v>11093441.48</v>
      </c>
      <c r="Q857" s="18">
        <f t="shared" si="55"/>
        <v>0</v>
      </c>
      <c r="R857" s="18">
        <f t="shared" si="55"/>
        <v>0</v>
      </c>
      <c r="S857" s="18">
        <f t="shared" si="55"/>
        <v>0</v>
      </c>
    </row>
    <row r="858" spans="1:19" ht="15" customHeight="1" x14ac:dyDescent="0.25">
      <c r="A858" s="34"/>
      <c r="B858" s="34" t="s">
        <v>1687</v>
      </c>
      <c r="C858" s="19"/>
      <c r="D858" s="13"/>
      <c r="E858" s="13"/>
      <c r="F858" s="13"/>
      <c r="G858" s="13"/>
      <c r="H858" s="13"/>
      <c r="I858" s="13"/>
      <c r="J858" s="13"/>
      <c r="K858" s="13"/>
      <c r="L858" s="14"/>
      <c r="M858" s="13"/>
      <c r="N858" s="14"/>
      <c r="O858" s="13"/>
      <c r="P858" s="13"/>
      <c r="Q858" s="13"/>
      <c r="R858" s="13"/>
      <c r="S858" s="13"/>
    </row>
    <row r="859" spans="1:19" x14ac:dyDescent="0.25">
      <c r="A859" s="9" t="s">
        <v>1684</v>
      </c>
      <c r="B859" s="17" t="s">
        <v>1689</v>
      </c>
      <c r="C859" s="18">
        <f t="shared" ref="C859:C879" si="56">ROUNDUP(SUM(D859+E859+F859+G859+H859+I859+J859+K859+M859+O859+P859+Q859+R859+S859),2)</f>
        <v>169561.93</v>
      </c>
      <c r="D859" s="18"/>
      <c r="E859" s="18">
        <v>169561.93</v>
      </c>
      <c r="F859" s="18"/>
      <c r="G859" s="18"/>
      <c r="H859" s="18"/>
      <c r="I859" s="18"/>
      <c r="J859" s="18"/>
      <c r="K859" s="18"/>
      <c r="L859" s="10"/>
      <c r="M859" s="18"/>
      <c r="N859" s="10"/>
      <c r="O859" s="18"/>
      <c r="P859" s="18"/>
      <c r="Q859" s="18"/>
      <c r="R859" s="18"/>
      <c r="S859" s="18"/>
    </row>
    <row r="860" spans="1:19" x14ac:dyDescent="0.25">
      <c r="A860" s="9" t="s">
        <v>1688</v>
      </c>
      <c r="B860" s="17" t="s">
        <v>1691</v>
      </c>
      <c r="C860" s="18">
        <f t="shared" si="56"/>
        <v>179823.8</v>
      </c>
      <c r="D860" s="18"/>
      <c r="E860" s="18">
        <v>179823.8</v>
      </c>
      <c r="F860" s="18"/>
      <c r="G860" s="18"/>
      <c r="H860" s="18"/>
      <c r="I860" s="18"/>
      <c r="J860" s="18"/>
      <c r="K860" s="18"/>
      <c r="L860" s="10"/>
      <c r="M860" s="18"/>
      <c r="N860" s="10"/>
      <c r="O860" s="18"/>
      <c r="P860" s="18"/>
      <c r="Q860" s="18"/>
      <c r="R860" s="18"/>
      <c r="S860" s="18"/>
    </row>
    <row r="861" spans="1:19" x14ac:dyDescent="0.25">
      <c r="A861" s="9" t="s">
        <v>1690</v>
      </c>
      <c r="B861" s="17" t="s">
        <v>1693</v>
      </c>
      <c r="C861" s="18">
        <f t="shared" si="56"/>
        <v>227988.46</v>
      </c>
      <c r="D861" s="18"/>
      <c r="E861" s="18">
        <v>227988.46</v>
      </c>
      <c r="F861" s="18"/>
      <c r="G861" s="18"/>
      <c r="H861" s="18"/>
      <c r="I861" s="18"/>
      <c r="J861" s="18"/>
      <c r="K861" s="18"/>
      <c r="L861" s="10"/>
      <c r="M861" s="18"/>
      <c r="N861" s="10"/>
      <c r="O861" s="18"/>
      <c r="P861" s="18"/>
      <c r="Q861" s="18"/>
      <c r="R861" s="18"/>
      <c r="S861" s="18"/>
    </row>
    <row r="862" spans="1:19" x14ac:dyDescent="0.25">
      <c r="A862" s="9" t="s">
        <v>1692</v>
      </c>
      <c r="B862" s="17" t="s">
        <v>1695</v>
      </c>
      <c r="C862" s="18">
        <f t="shared" si="56"/>
        <v>507899.02</v>
      </c>
      <c r="D862" s="18"/>
      <c r="E862" s="18">
        <v>507899.02</v>
      </c>
      <c r="F862" s="18"/>
      <c r="G862" s="18"/>
      <c r="H862" s="18"/>
      <c r="I862" s="18"/>
      <c r="J862" s="18"/>
      <c r="K862" s="18"/>
      <c r="L862" s="10"/>
      <c r="M862" s="18"/>
      <c r="N862" s="10"/>
      <c r="O862" s="18"/>
      <c r="P862" s="18"/>
      <c r="Q862" s="18"/>
      <c r="R862" s="18"/>
      <c r="S862" s="18"/>
    </row>
    <row r="863" spans="1:19" x14ac:dyDescent="0.25">
      <c r="A863" s="9" t="s">
        <v>1694</v>
      </c>
      <c r="B863" s="17" t="s">
        <v>1697</v>
      </c>
      <c r="C863" s="18">
        <f t="shared" si="56"/>
        <v>251719.14</v>
      </c>
      <c r="D863" s="18"/>
      <c r="E863" s="18">
        <v>251719.14</v>
      </c>
      <c r="F863" s="18"/>
      <c r="G863" s="18"/>
      <c r="H863" s="18"/>
      <c r="I863" s="18"/>
      <c r="J863" s="18"/>
      <c r="K863" s="18"/>
      <c r="L863" s="10"/>
      <c r="M863" s="18"/>
      <c r="N863" s="10"/>
      <c r="O863" s="18"/>
      <c r="P863" s="18"/>
      <c r="Q863" s="18"/>
      <c r="R863" s="18"/>
      <c r="S863" s="18"/>
    </row>
    <row r="864" spans="1:19" x14ac:dyDescent="0.25">
      <c r="A864" s="9" t="s">
        <v>1696</v>
      </c>
      <c r="B864" s="17" t="s">
        <v>1699</v>
      </c>
      <c r="C864" s="18">
        <f>ROUNDUP(SUM(D864+E864+F864+G864+H864+I864+J864+K864+M864+O864+P864+Q864+R864+S864),2)</f>
        <v>383694.35</v>
      </c>
      <c r="D864" s="18"/>
      <c r="E864" s="18">
        <v>383694.35</v>
      </c>
      <c r="F864" s="18"/>
      <c r="G864" s="18"/>
      <c r="H864" s="18"/>
      <c r="I864" s="18"/>
      <c r="J864" s="18"/>
      <c r="K864" s="18"/>
      <c r="L864" s="10"/>
      <c r="M864" s="18"/>
      <c r="N864" s="10"/>
      <c r="O864" s="18"/>
      <c r="P864" s="18"/>
      <c r="Q864" s="18"/>
      <c r="R864" s="18"/>
      <c r="S864" s="18"/>
    </row>
    <row r="865" spans="1:19" x14ac:dyDescent="0.25">
      <c r="A865" s="9" t="s">
        <v>1698</v>
      </c>
      <c r="B865" s="17" t="s">
        <v>1701</v>
      </c>
      <c r="C865" s="18">
        <f>ROUNDUP(SUM(D865+E865+F865+G865+H865+I865+J865+K865+M865+O865+P865+Q865+R865+S865),2)</f>
        <v>234763.51</v>
      </c>
      <c r="D865" s="18"/>
      <c r="E865" s="18">
        <v>234763.51</v>
      </c>
      <c r="F865" s="18"/>
      <c r="G865" s="18"/>
      <c r="H865" s="18"/>
      <c r="I865" s="18"/>
      <c r="J865" s="18"/>
      <c r="K865" s="18"/>
      <c r="L865" s="10"/>
      <c r="M865" s="18"/>
      <c r="N865" s="10"/>
      <c r="O865" s="18"/>
      <c r="P865" s="18"/>
      <c r="Q865" s="18"/>
      <c r="R865" s="18"/>
      <c r="S865" s="18"/>
    </row>
    <row r="866" spans="1:19" x14ac:dyDescent="0.25">
      <c r="A866" s="9" t="s">
        <v>1700</v>
      </c>
      <c r="B866" s="17" t="s">
        <v>1703</v>
      </c>
      <c r="C866" s="18">
        <f t="shared" si="56"/>
        <v>235152.17</v>
      </c>
      <c r="D866" s="18"/>
      <c r="E866" s="18">
        <v>235152.17</v>
      </c>
      <c r="F866" s="18"/>
      <c r="G866" s="18"/>
      <c r="H866" s="18"/>
      <c r="I866" s="18"/>
      <c r="J866" s="18"/>
      <c r="K866" s="18"/>
      <c r="L866" s="10"/>
      <c r="M866" s="18"/>
      <c r="N866" s="10"/>
      <c r="O866" s="18"/>
      <c r="P866" s="18"/>
      <c r="Q866" s="18"/>
      <c r="R866" s="18"/>
      <c r="S866" s="18"/>
    </row>
    <row r="867" spans="1:19" x14ac:dyDescent="0.25">
      <c r="A867" s="9" t="s">
        <v>1702</v>
      </c>
      <c r="B867" s="17" t="s">
        <v>1705</v>
      </c>
      <c r="C867" s="18">
        <f t="shared" si="56"/>
        <v>251586.94</v>
      </c>
      <c r="D867" s="18"/>
      <c r="E867" s="18">
        <v>251586.94</v>
      </c>
      <c r="F867" s="18"/>
      <c r="G867" s="18"/>
      <c r="H867" s="18"/>
      <c r="I867" s="18"/>
      <c r="J867" s="18"/>
      <c r="K867" s="18"/>
      <c r="L867" s="10"/>
      <c r="M867" s="18"/>
      <c r="N867" s="10"/>
      <c r="O867" s="18"/>
      <c r="P867" s="18"/>
      <c r="Q867" s="18"/>
      <c r="R867" s="18"/>
      <c r="S867" s="18"/>
    </row>
    <row r="868" spans="1:19" x14ac:dyDescent="0.25">
      <c r="A868" s="9" t="s">
        <v>1704</v>
      </c>
      <c r="B868" s="17" t="s">
        <v>1707</v>
      </c>
      <c r="C868" s="18">
        <f t="shared" si="56"/>
        <v>306768.73</v>
      </c>
      <c r="D868" s="18"/>
      <c r="E868" s="18">
        <v>306768.73</v>
      </c>
      <c r="F868" s="18"/>
      <c r="G868" s="18"/>
      <c r="H868" s="18"/>
      <c r="I868" s="18"/>
      <c r="J868" s="18"/>
      <c r="K868" s="18"/>
      <c r="L868" s="10"/>
      <c r="M868" s="18"/>
      <c r="N868" s="10"/>
      <c r="O868" s="18"/>
      <c r="P868" s="18"/>
      <c r="Q868" s="18"/>
      <c r="R868" s="18"/>
      <c r="S868" s="18"/>
    </row>
    <row r="869" spans="1:19" x14ac:dyDescent="0.25">
      <c r="A869" s="9" t="s">
        <v>1706</v>
      </c>
      <c r="B869" s="17" t="s">
        <v>1709</v>
      </c>
      <c r="C869" s="18">
        <f>ROUNDUP(SUM(D869+E869+F869+G869+H869+I869+J869+K869+M869+O869+P869+Q869+R869+S869),2)</f>
        <v>264518.48</v>
      </c>
      <c r="D869" s="18"/>
      <c r="E869" s="18">
        <v>264518.48</v>
      </c>
      <c r="F869" s="18"/>
      <c r="G869" s="18"/>
      <c r="H869" s="18"/>
      <c r="I869" s="18"/>
      <c r="J869" s="18"/>
      <c r="K869" s="18"/>
      <c r="L869" s="10"/>
      <c r="M869" s="18"/>
      <c r="N869" s="10"/>
      <c r="O869" s="18"/>
      <c r="P869" s="18"/>
      <c r="Q869" s="18"/>
      <c r="R869" s="18"/>
      <c r="S869" s="18"/>
    </row>
    <row r="870" spans="1:19" x14ac:dyDescent="0.25">
      <c r="A870" s="9" t="s">
        <v>1708</v>
      </c>
      <c r="B870" s="17" t="s">
        <v>1711</v>
      </c>
      <c r="C870" s="18">
        <f t="shared" si="56"/>
        <v>228423.34</v>
      </c>
      <c r="D870" s="18"/>
      <c r="E870" s="18">
        <v>228423.34</v>
      </c>
      <c r="F870" s="18"/>
      <c r="G870" s="18"/>
      <c r="H870" s="18"/>
      <c r="I870" s="18"/>
      <c r="J870" s="18"/>
      <c r="K870" s="18"/>
      <c r="L870" s="10"/>
      <c r="M870" s="18"/>
      <c r="N870" s="10"/>
      <c r="O870" s="18"/>
      <c r="P870" s="18"/>
      <c r="Q870" s="18"/>
      <c r="R870" s="18"/>
      <c r="S870" s="18"/>
    </row>
    <row r="871" spans="1:19" x14ac:dyDescent="0.25">
      <c r="A871" s="9" t="s">
        <v>1710</v>
      </c>
      <c r="B871" s="17" t="s">
        <v>1713</v>
      </c>
      <c r="C871" s="18">
        <f t="shared" si="56"/>
        <v>618834.64</v>
      </c>
      <c r="D871" s="18"/>
      <c r="E871" s="18">
        <v>618834.64</v>
      </c>
      <c r="F871" s="18"/>
      <c r="G871" s="18"/>
      <c r="H871" s="18"/>
      <c r="I871" s="18"/>
      <c r="J871" s="18"/>
      <c r="K871" s="18"/>
      <c r="L871" s="10"/>
      <c r="M871" s="18"/>
      <c r="N871" s="10"/>
      <c r="O871" s="18"/>
      <c r="P871" s="18"/>
      <c r="Q871" s="18"/>
      <c r="R871" s="18"/>
      <c r="S871" s="18"/>
    </row>
    <row r="872" spans="1:19" x14ac:dyDescent="0.25">
      <c r="A872" s="9" t="s">
        <v>1712</v>
      </c>
      <c r="B872" s="17" t="s">
        <v>1715</v>
      </c>
      <c r="C872" s="18">
        <f t="shared" si="56"/>
        <v>505749.46</v>
      </c>
      <c r="D872" s="18"/>
      <c r="E872" s="18">
        <v>505749.46</v>
      </c>
      <c r="F872" s="18"/>
      <c r="G872" s="18"/>
      <c r="H872" s="18"/>
      <c r="I872" s="18"/>
      <c r="J872" s="18"/>
      <c r="K872" s="18"/>
      <c r="L872" s="10"/>
      <c r="M872" s="18"/>
      <c r="N872" s="10"/>
      <c r="O872" s="18"/>
      <c r="P872" s="18"/>
      <c r="Q872" s="18"/>
      <c r="R872" s="18"/>
      <c r="S872" s="18"/>
    </row>
    <row r="873" spans="1:19" x14ac:dyDescent="0.25">
      <c r="A873" s="9" t="s">
        <v>1714</v>
      </c>
      <c r="B873" s="17" t="s">
        <v>1717</v>
      </c>
      <c r="C873" s="18">
        <f t="shared" si="56"/>
        <v>296929.27</v>
      </c>
      <c r="D873" s="18"/>
      <c r="E873" s="18">
        <v>296929.27</v>
      </c>
      <c r="F873" s="18"/>
      <c r="G873" s="18"/>
      <c r="H873" s="18"/>
      <c r="I873" s="18"/>
      <c r="J873" s="18"/>
      <c r="K873" s="18"/>
      <c r="L873" s="10"/>
      <c r="M873" s="18"/>
      <c r="N873" s="10"/>
      <c r="O873" s="18"/>
      <c r="P873" s="18"/>
      <c r="Q873" s="18"/>
      <c r="R873" s="18"/>
      <c r="S873" s="18"/>
    </row>
    <row r="874" spans="1:19" x14ac:dyDescent="0.25">
      <c r="A874" s="9" t="s">
        <v>1716</v>
      </c>
      <c r="B874" s="17" t="s">
        <v>1719</v>
      </c>
      <c r="C874" s="18">
        <f t="shared" si="56"/>
        <v>735580.45</v>
      </c>
      <c r="D874" s="18"/>
      <c r="E874" s="18">
        <v>735580.45</v>
      </c>
      <c r="F874" s="18"/>
      <c r="G874" s="18"/>
      <c r="H874" s="18"/>
      <c r="I874" s="18"/>
      <c r="J874" s="18"/>
      <c r="K874" s="18"/>
      <c r="L874" s="10"/>
      <c r="M874" s="18"/>
      <c r="N874" s="10"/>
      <c r="O874" s="18"/>
      <c r="P874" s="18"/>
      <c r="Q874" s="18"/>
      <c r="R874" s="18"/>
      <c r="S874" s="18"/>
    </row>
    <row r="875" spans="1:19" x14ac:dyDescent="0.25">
      <c r="A875" s="9" t="s">
        <v>1718</v>
      </c>
      <c r="B875" s="17" t="s">
        <v>1721</v>
      </c>
      <c r="C875" s="18">
        <f t="shared" si="56"/>
        <v>109043.58</v>
      </c>
      <c r="D875" s="18"/>
      <c r="E875" s="18">
        <v>109043.58</v>
      </c>
      <c r="F875" s="18"/>
      <c r="G875" s="18"/>
      <c r="H875" s="18"/>
      <c r="I875" s="18"/>
      <c r="J875" s="18"/>
      <c r="K875" s="18"/>
      <c r="L875" s="10"/>
      <c r="M875" s="18"/>
      <c r="N875" s="10"/>
      <c r="O875" s="18"/>
      <c r="P875" s="18"/>
      <c r="Q875" s="18"/>
      <c r="R875" s="18"/>
      <c r="S875" s="18"/>
    </row>
    <row r="876" spans="1:19" x14ac:dyDescent="0.25">
      <c r="A876" s="9" t="s">
        <v>1720</v>
      </c>
      <c r="B876" s="17" t="s">
        <v>1723</v>
      </c>
      <c r="C876" s="18">
        <f t="shared" si="56"/>
        <v>191765.03</v>
      </c>
      <c r="D876" s="18"/>
      <c r="E876" s="18">
        <v>191765.03</v>
      </c>
      <c r="F876" s="18"/>
      <c r="G876" s="18"/>
      <c r="H876" s="18"/>
      <c r="I876" s="18"/>
      <c r="J876" s="18"/>
      <c r="K876" s="18"/>
      <c r="L876" s="10"/>
      <c r="M876" s="18"/>
      <c r="N876" s="10"/>
      <c r="O876" s="18"/>
      <c r="P876" s="18"/>
      <c r="Q876" s="18"/>
      <c r="R876" s="18"/>
      <c r="S876" s="18"/>
    </row>
    <row r="877" spans="1:19" x14ac:dyDescent="0.25">
      <c r="A877" s="9" t="s">
        <v>1722</v>
      </c>
      <c r="B877" s="17" t="s">
        <v>1725</v>
      </c>
      <c r="C877" s="18">
        <f t="shared" si="56"/>
        <v>191765.03</v>
      </c>
      <c r="D877" s="18"/>
      <c r="E877" s="18">
        <v>191765.03</v>
      </c>
      <c r="F877" s="18"/>
      <c r="G877" s="18"/>
      <c r="H877" s="18"/>
      <c r="I877" s="18"/>
      <c r="J877" s="18"/>
      <c r="K877" s="18"/>
      <c r="L877" s="10"/>
      <c r="M877" s="18"/>
      <c r="N877" s="10"/>
      <c r="O877" s="18"/>
      <c r="P877" s="18"/>
      <c r="Q877" s="18"/>
      <c r="R877" s="18"/>
      <c r="S877" s="18"/>
    </row>
    <row r="878" spans="1:19" x14ac:dyDescent="0.25">
      <c r="A878" s="9" t="s">
        <v>1724</v>
      </c>
      <c r="B878" s="17" t="s">
        <v>1727</v>
      </c>
      <c r="C878" s="18">
        <f t="shared" si="56"/>
        <v>279731.74</v>
      </c>
      <c r="D878" s="18"/>
      <c r="E878" s="18">
        <v>279731.74</v>
      </c>
      <c r="F878" s="18"/>
      <c r="G878" s="18"/>
      <c r="H878" s="18"/>
      <c r="I878" s="18"/>
      <c r="J878" s="18"/>
      <c r="K878" s="18"/>
      <c r="L878" s="10"/>
      <c r="M878" s="18"/>
      <c r="N878" s="10"/>
      <c r="O878" s="18"/>
      <c r="P878" s="18"/>
      <c r="Q878" s="18"/>
      <c r="R878" s="18"/>
      <c r="S878" s="18"/>
    </row>
    <row r="879" spans="1:19" x14ac:dyDescent="0.25">
      <c r="A879" s="9" t="s">
        <v>1726</v>
      </c>
      <c r="B879" s="17" t="s">
        <v>1729</v>
      </c>
      <c r="C879" s="18">
        <f t="shared" si="56"/>
        <v>184714.73</v>
      </c>
      <c r="D879" s="18"/>
      <c r="E879" s="18">
        <v>184714.73</v>
      </c>
      <c r="F879" s="18"/>
      <c r="G879" s="18"/>
      <c r="H879" s="18"/>
      <c r="I879" s="18"/>
      <c r="J879" s="18"/>
      <c r="K879" s="18"/>
      <c r="L879" s="10"/>
      <c r="M879" s="18"/>
      <c r="N879" s="10"/>
      <c r="O879" s="18"/>
      <c r="P879" s="18"/>
      <c r="Q879" s="18"/>
      <c r="R879" s="18"/>
      <c r="S879" s="18"/>
    </row>
    <row r="880" spans="1:19" ht="15" customHeight="1" x14ac:dyDescent="0.25">
      <c r="A880" s="33"/>
      <c r="B880" s="33" t="s">
        <v>1730</v>
      </c>
      <c r="C880" s="18">
        <f>ROUND(D880+E880+F880+G880+H880+I880+J880+K880+M880+O880+P880+Q880+R880+S880,2)</f>
        <v>6356013.7999999998</v>
      </c>
      <c r="D880" s="18">
        <f t="shared" ref="D880:S880" si="57">SUM(D859:D879)</f>
        <v>0</v>
      </c>
      <c r="E880" s="18">
        <f t="shared" si="57"/>
        <v>6356013.8000000017</v>
      </c>
      <c r="F880" s="18">
        <f t="shared" si="57"/>
        <v>0</v>
      </c>
      <c r="G880" s="18">
        <f t="shared" si="57"/>
        <v>0</v>
      </c>
      <c r="H880" s="18">
        <f t="shared" si="57"/>
        <v>0</v>
      </c>
      <c r="I880" s="18">
        <f t="shared" si="57"/>
        <v>0</v>
      </c>
      <c r="J880" s="18">
        <f t="shared" si="57"/>
        <v>0</v>
      </c>
      <c r="K880" s="18">
        <f t="shared" si="57"/>
        <v>0</v>
      </c>
      <c r="L880" s="10">
        <f t="shared" si="57"/>
        <v>0</v>
      </c>
      <c r="M880" s="18">
        <f t="shared" si="57"/>
        <v>0</v>
      </c>
      <c r="N880" s="18" t="s">
        <v>42</v>
      </c>
      <c r="O880" s="18">
        <f t="shared" si="57"/>
        <v>0</v>
      </c>
      <c r="P880" s="18">
        <f t="shared" si="57"/>
        <v>0</v>
      </c>
      <c r="Q880" s="18">
        <f t="shared" si="57"/>
        <v>0</v>
      </c>
      <c r="R880" s="18">
        <f t="shared" si="57"/>
        <v>0</v>
      </c>
      <c r="S880" s="18">
        <f t="shared" si="57"/>
        <v>0</v>
      </c>
    </row>
    <row r="881" spans="1:23" ht="15" customHeight="1" x14ac:dyDescent="0.25">
      <c r="A881" s="34"/>
      <c r="B881" s="34" t="s">
        <v>1731</v>
      </c>
      <c r="C881" s="19"/>
      <c r="D881" s="13"/>
      <c r="E881" s="13"/>
      <c r="F881" s="13"/>
      <c r="G881" s="13"/>
      <c r="H881" s="13"/>
      <c r="I881" s="13"/>
      <c r="J881" s="13"/>
      <c r="K881" s="13"/>
      <c r="L881" s="14"/>
      <c r="M881" s="13"/>
      <c r="N881" s="14"/>
      <c r="O881" s="13"/>
      <c r="P881" s="13"/>
      <c r="Q881" s="13"/>
      <c r="R881" s="13"/>
      <c r="S881" s="13"/>
    </row>
    <row r="882" spans="1:23" x14ac:dyDescent="0.25">
      <c r="A882" s="9" t="s">
        <v>1728</v>
      </c>
      <c r="B882" s="17" t="s">
        <v>1733</v>
      </c>
      <c r="C882" s="18">
        <f t="shared" ref="C882:C915" si="58">ROUNDUP(SUM(D882+E882+F882+G882+H882+I882+J882+K882+M882+O882+P882+Q882+R882+S882),2)</f>
        <v>195525.74</v>
      </c>
      <c r="D882" s="18"/>
      <c r="E882" s="18">
        <v>195525.74</v>
      </c>
      <c r="F882" s="18"/>
      <c r="G882" s="18"/>
      <c r="H882" s="18"/>
      <c r="I882" s="18"/>
      <c r="J882" s="18"/>
      <c r="K882" s="18"/>
      <c r="L882" s="10"/>
      <c r="M882" s="18"/>
      <c r="N882" s="10"/>
      <c r="O882" s="18"/>
      <c r="P882" s="18"/>
      <c r="Q882" s="18"/>
      <c r="R882" s="18"/>
      <c r="S882" s="18"/>
      <c r="W882" s="2"/>
    </row>
    <row r="883" spans="1:23" x14ac:dyDescent="0.25">
      <c r="A883" s="9" t="s">
        <v>1732</v>
      </c>
      <c r="B883" s="17" t="s">
        <v>1735</v>
      </c>
      <c r="C883" s="18">
        <f t="shared" si="58"/>
        <v>123734.1</v>
      </c>
      <c r="D883" s="18"/>
      <c r="E883" s="18">
        <v>123734.1</v>
      </c>
      <c r="F883" s="18"/>
      <c r="G883" s="18"/>
      <c r="H883" s="18"/>
      <c r="I883" s="18"/>
      <c r="J883" s="18"/>
      <c r="K883" s="18"/>
      <c r="L883" s="10"/>
      <c r="M883" s="18"/>
      <c r="N883" s="10"/>
      <c r="O883" s="18"/>
      <c r="P883" s="18"/>
      <c r="Q883" s="18"/>
      <c r="R883" s="18"/>
      <c r="S883" s="18"/>
      <c r="W883" s="2"/>
    </row>
    <row r="884" spans="1:23" x14ac:dyDescent="0.25">
      <c r="A884" s="9" t="s">
        <v>1734</v>
      </c>
      <c r="B884" s="17" t="s">
        <v>1737</v>
      </c>
      <c r="C884" s="18">
        <f t="shared" si="58"/>
        <v>232324.99</v>
      </c>
      <c r="D884" s="18"/>
      <c r="E884" s="18">
        <v>232324.99</v>
      </c>
      <c r="F884" s="18"/>
      <c r="G884" s="18"/>
      <c r="H884" s="18"/>
      <c r="I884" s="18"/>
      <c r="J884" s="18"/>
      <c r="K884" s="18"/>
      <c r="L884" s="10"/>
      <c r="M884" s="18"/>
      <c r="N884" s="10"/>
      <c r="O884" s="18"/>
      <c r="P884" s="18"/>
      <c r="Q884" s="18"/>
      <c r="R884" s="18"/>
      <c r="S884" s="18"/>
      <c r="W884" s="2"/>
    </row>
    <row r="885" spans="1:23" x14ac:dyDescent="0.25">
      <c r="A885" s="9" t="s">
        <v>1736</v>
      </c>
      <c r="B885" s="17" t="s">
        <v>1739</v>
      </c>
      <c r="C885" s="18">
        <f t="shared" si="58"/>
        <v>2455408.7999999998</v>
      </c>
      <c r="D885" s="18"/>
      <c r="E885" s="18"/>
      <c r="F885" s="18"/>
      <c r="G885" s="18"/>
      <c r="H885" s="18">
        <v>889768.2</v>
      </c>
      <c r="I885" s="18">
        <v>1565640.6</v>
      </c>
      <c r="J885" s="18"/>
      <c r="K885" s="18"/>
      <c r="L885" s="10"/>
      <c r="M885" s="18"/>
      <c r="N885" s="10"/>
      <c r="O885" s="18"/>
      <c r="P885" s="18"/>
      <c r="Q885" s="18"/>
      <c r="R885" s="18"/>
      <c r="S885" s="18"/>
      <c r="W885" s="2"/>
    </row>
    <row r="886" spans="1:23" x14ac:dyDescent="0.25">
      <c r="A886" s="9" t="s">
        <v>1738</v>
      </c>
      <c r="B886" s="17" t="s">
        <v>1741</v>
      </c>
      <c r="C886" s="18">
        <f t="shared" si="58"/>
        <v>157812.60999999999</v>
      </c>
      <c r="D886" s="18"/>
      <c r="E886" s="18">
        <v>157812.60999999999</v>
      </c>
      <c r="F886" s="18"/>
      <c r="G886" s="18"/>
      <c r="H886" s="18"/>
      <c r="I886" s="18"/>
      <c r="J886" s="18"/>
      <c r="K886" s="18"/>
      <c r="L886" s="10"/>
      <c r="M886" s="18"/>
      <c r="N886" s="10"/>
      <c r="O886" s="18"/>
      <c r="P886" s="18"/>
      <c r="Q886" s="18"/>
      <c r="R886" s="18"/>
      <c r="S886" s="18"/>
      <c r="W886" s="2"/>
    </row>
    <row r="887" spans="1:23" x14ac:dyDescent="0.25">
      <c r="A887" s="9" t="s">
        <v>1740</v>
      </c>
      <c r="B887" s="17" t="s">
        <v>1743</v>
      </c>
      <c r="C887" s="18">
        <f t="shared" si="58"/>
        <v>217627.64</v>
      </c>
      <c r="D887" s="18"/>
      <c r="E887" s="18">
        <v>217627.64</v>
      </c>
      <c r="F887" s="18"/>
      <c r="G887" s="18"/>
      <c r="H887" s="18"/>
      <c r="I887" s="18"/>
      <c r="J887" s="18"/>
      <c r="K887" s="18"/>
      <c r="L887" s="10"/>
      <c r="M887" s="18"/>
      <c r="N887" s="10"/>
      <c r="O887" s="18"/>
      <c r="P887" s="18"/>
      <c r="Q887" s="18"/>
      <c r="R887" s="18"/>
      <c r="S887" s="18"/>
      <c r="W887" s="2"/>
    </row>
    <row r="888" spans="1:23" x14ac:dyDescent="0.25">
      <c r="A888" s="9" t="s">
        <v>1742</v>
      </c>
      <c r="B888" s="17" t="s">
        <v>1745</v>
      </c>
      <c r="C888" s="18">
        <f t="shared" si="58"/>
        <v>310385.53999999998</v>
      </c>
      <c r="D888" s="18"/>
      <c r="E888" s="18">
        <v>310385.53999999998</v>
      </c>
      <c r="F888" s="18"/>
      <c r="G888" s="18"/>
      <c r="H888" s="18"/>
      <c r="I888" s="18"/>
      <c r="J888" s="18"/>
      <c r="K888" s="18"/>
      <c r="L888" s="10"/>
      <c r="M888" s="18"/>
      <c r="N888" s="10"/>
      <c r="O888" s="18"/>
      <c r="P888" s="18"/>
      <c r="Q888" s="18"/>
      <c r="R888" s="18"/>
      <c r="S888" s="18"/>
      <c r="W888" s="2"/>
    </row>
    <row r="889" spans="1:23" x14ac:dyDescent="0.25">
      <c r="A889" s="9" t="s">
        <v>1744</v>
      </c>
      <c r="B889" s="17" t="s">
        <v>1747</v>
      </c>
      <c r="C889" s="18">
        <f t="shared" si="58"/>
        <v>192234.72</v>
      </c>
      <c r="D889" s="18"/>
      <c r="E889" s="18">
        <v>192234.72</v>
      </c>
      <c r="F889" s="18"/>
      <c r="G889" s="18"/>
      <c r="H889" s="18"/>
      <c r="I889" s="18"/>
      <c r="J889" s="18"/>
      <c r="K889" s="18"/>
      <c r="L889" s="10"/>
      <c r="M889" s="18"/>
      <c r="N889" s="10"/>
      <c r="O889" s="18"/>
      <c r="P889" s="18"/>
      <c r="Q889" s="18"/>
      <c r="R889" s="18"/>
      <c r="S889" s="18"/>
      <c r="W889" s="2"/>
    </row>
    <row r="890" spans="1:23" x14ac:dyDescent="0.25">
      <c r="A890" s="9" t="s">
        <v>1746</v>
      </c>
      <c r="B890" s="17" t="s">
        <v>1749</v>
      </c>
      <c r="C890" s="18">
        <f t="shared" si="58"/>
        <v>119963.26</v>
      </c>
      <c r="D890" s="18"/>
      <c r="E890" s="18">
        <v>119963.26</v>
      </c>
      <c r="F890" s="18"/>
      <c r="G890" s="18"/>
      <c r="H890" s="18"/>
      <c r="I890" s="18"/>
      <c r="J890" s="18"/>
      <c r="K890" s="18"/>
      <c r="L890" s="10"/>
      <c r="M890" s="18"/>
      <c r="N890" s="10"/>
      <c r="O890" s="18"/>
      <c r="P890" s="18"/>
      <c r="Q890" s="18"/>
      <c r="R890" s="18"/>
      <c r="S890" s="18"/>
      <c r="W890" s="2"/>
    </row>
    <row r="891" spans="1:23" x14ac:dyDescent="0.25">
      <c r="A891" s="9" t="s">
        <v>1748</v>
      </c>
      <c r="B891" s="17" t="s">
        <v>1751</v>
      </c>
      <c r="C891" s="18">
        <f t="shared" si="58"/>
        <v>96443.09</v>
      </c>
      <c r="D891" s="18"/>
      <c r="E891" s="18">
        <v>96443.09</v>
      </c>
      <c r="F891" s="18"/>
      <c r="G891" s="18"/>
      <c r="H891" s="18"/>
      <c r="I891" s="18"/>
      <c r="J891" s="18"/>
      <c r="K891" s="18"/>
      <c r="L891" s="10"/>
      <c r="M891" s="18"/>
      <c r="N891" s="10"/>
      <c r="O891" s="18"/>
      <c r="P891" s="18"/>
      <c r="Q891" s="18"/>
      <c r="R891" s="18"/>
      <c r="S891" s="18"/>
      <c r="W891" s="2"/>
    </row>
    <row r="892" spans="1:23" x14ac:dyDescent="0.25">
      <c r="A892" s="9" t="s">
        <v>1750</v>
      </c>
      <c r="B892" s="17" t="s">
        <v>1753</v>
      </c>
      <c r="C892" s="18">
        <f t="shared" si="58"/>
        <v>301843.87</v>
      </c>
      <c r="D892" s="18"/>
      <c r="E892" s="18">
        <v>301843.87</v>
      </c>
      <c r="F892" s="18"/>
      <c r="G892" s="18"/>
      <c r="H892" s="18"/>
      <c r="I892" s="18"/>
      <c r="J892" s="18"/>
      <c r="K892" s="18"/>
      <c r="L892" s="10"/>
      <c r="M892" s="18"/>
      <c r="N892" s="10"/>
      <c r="O892" s="18"/>
      <c r="P892" s="18"/>
      <c r="Q892" s="18"/>
      <c r="R892" s="18"/>
      <c r="S892" s="18"/>
      <c r="W892" s="2"/>
    </row>
    <row r="893" spans="1:23" x14ac:dyDescent="0.25">
      <c r="A893" s="9" t="s">
        <v>1752</v>
      </c>
      <c r="B893" s="17" t="s">
        <v>1755</v>
      </c>
      <c r="C893" s="18">
        <f t="shared" si="58"/>
        <v>468226.16</v>
      </c>
      <c r="D893" s="18"/>
      <c r="E893" s="18">
        <v>468226.16</v>
      </c>
      <c r="F893" s="18"/>
      <c r="G893" s="18"/>
      <c r="H893" s="18"/>
      <c r="I893" s="18"/>
      <c r="J893" s="18"/>
      <c r="K893" s="18"/>
      <c r="L893" s="10"/>
      <c r="M893" s="18"/>
      <c r="N893" s="10"/>
      <c r="O893" s="18"/>
      <c r="P893" s="18"/>
      <c r="Q893" s="18"/>
      <c r="R893" s="18"/>
      <c r="S893" s="18"/>
      <c r="W893" s="2"/>
    </row>
    <row r="894" spans="1:23" x14ac:dyDescent="0.25">
      <c r="A894" s="9" t="s">
        <v>1754</v>
      </c>
      <c r="B894" s="17" t="s">
        <v>1757</v>
      </c>
      <c r="C894" s="18">
        <f t="shared" si="58"/>
        <v>316430.28999999998</v>
      </c>
      <c r="D894" s="18"/>
      <c r="E894" s="18">
        <v>316430.28999999998</v>
      </c>
      <c r="F894" s="18"/>
      <c r="G894" s="18"/>
      <c r="H894" s="18"/>
      <c r="I894" s="18"/>
      <c r="J894" s="18"/>
      <c r="K894" s="18"/>
      <c r="L894" s="10"/>
      <c r="M894" s="18"/>
      <c r="N894" s="10"/>
      <c r="O894" s="18"/>
      <c r="P894" s="18"/>
      <c r="Q894" s="18"/>
      <c r="R894" s="18"/>
      <c r="S894" s="18"/>
      <c r="W894" s="2"/>
    </row>
    <row r="895" spans="1:23" x14ac:dyDescent="0.25">
      <c r="A895" s="9" t="s">
        <v>1756</v>
      </c>
      <c r="B895" s="17" t="s">
        <v>1759</v>
      </c>
      <c r="C895" s="18">
        <f t="shared" si="58"/>
        <v>340057.36</v>
      </c>
      <c r="D895" s="18"/>
      <c r="E895" s="18">
        <v>340057.36</v>
      </c>
      <c r="F895" s="18"/>
      <c r="G895" s="18"/>
      <c r="H895" s="18"/>
      <c r="I895" s="18"/>
      <c r="J895" s="18"/>
      <c r="K895" s="18"/>
      <c r="L895" s="10"/>
      <c r="M895" s="18"/>
      <c r="N895" s="10"/>
      <c r="O895" s="18"/>
      <c r="P895" s="18"/>
      <c r="Q895" s="18"/>
      <c r="R895" s="18"/>
      <c r="S895" s="18"/>
      <c r="W895" s="2"/>
    </row>
    <row r="896" spans="1:23" x14ac:dyDescent="0.25">
      <c r="A896" s="9" t="s">
        <v>1758</v>
      </c>
      <c r="B896" s="17" t="s">
        <v>1761</v>
      </c>
      <c r="C896" s="18">
        <f t="shared" si="58"/>
        <v>278900.94</v>
      </c>
      <c r="D896" s="18"/>
      <c r="E896" s="18">
        <v>278900.94</v>
      </c>
      <c r="F896" s="18"/>
      <c r="G896" s="18"/>
      <c r="H896" s="18"/>
      <c r="I896" s="18"/>
      <c r="J896" s="18"/>
      <c r="K896" s="18"/>
      <c r="L896" s="10"/>
      <c r="M896" s="18"/>
      <c r="N896" s="10"/>
      <c r="O896" s="18"/>
      <c r="P896" s="18"/>
      <c r="Q896" s="18"/>
      <c r="R896" s="18"/>
      <c r="S896" s="18"/>
      <c r="W896" s="2"/>
    </row>
    <row r="897" spans="1:23" x14ac:dyDescent="0.25">
      <c r="A897" s="9" t="s">
        <v>1760</v>
      </c>
      <c r="B897" s="17" t="s">
        <v>1763</v>
      </c>
      <c r="C897" s="18">
        <f t="shared" si="58"/>
        <v>265663.8</v>
      </c>
      <c r="D897" s="18"/>
      <c r="E897" s="18">
        <v>265663.8</v>
      </c>
      <c r="F897" s="18"/>
      <c r="G897" s="18"/>
      <c r="H897" s="18"/>
      <c r="I897" s="18"/>
      <c r="J897" s="18"/>
      <c r="K897" s="18"/>
      <c r="L897" s="10"/>
      <c r="M897" s="18"/>
      <c r="N897" s="10"/>
      <c r="O897" s="18"/>
      <c r="P897" s="18"/>
      <c r="Q897" s="18"/>
      <c r="R897" s="18"/>
      <c r="S897" s="18"/>
      <c r="W897" s="2"/>
    </row>
    <row r="898" spans="1:23" x14ac:dyDescent="0.25">
      <c r="A898" s="9" t="s">
        <v>1762</v>
      </c>
      <c r="B898" s="17" t="s">
        <v>1765</v>
      </c>
      <c r="C898" s="18">
        <f t="shared" si="58"/>
        <v>255577.55</v>
      </c>
      <c r="D898" s="18"/>
      <c r="E898" s="18">
        <v>255577.55</v>
      </c>
      <c r="F898" s="18"/>
      <c r="G898" s="18"/>
      <c r="H898" s="18"/>
      <c r="I898" s="18"/>
      <c r="J898" s="18"/>
      <c r="K898" s="18"/>
      <c r="L898" s="10"/>
      <c r="M898" s="18"/>
      <c r="N898" s="10"/>
      <c r="O898" s="18"/>
      <c r="P898" s="18"/>
      <c r="Q898" s="18"/>
      <c r="R898" s="18"/>
      <c r="S898" s="18"/>
      <c r="W898" s="2"/>
    </row>
    <row r="899" spans="1:23" x14ac:dyDescent="0.25">
      <c r="A899" s="9" t="s">
        <v>1764</v>
      </c>
      <c r="B899" s="17" t="s">
        <v>1767</v>
      </c>
      <c r="C899" s="18">
        <f t="shared" si="58"/>
        <v>322938.83</v>
      </c>
      <c r="D899" s="18"/>
      <c r="E899" s="18">
        <v>322938.83</v>
      </c>
      <c r="F899" s="18"/>
      <c r="G899" s="18"/>
      <c r="H899" s="18"/>
      <c r="I899" s="18"/>
      <c r="J899" s="18"/>
      <c r="K899" s="18"/>
      <c r="L899" s="10"/>
      <c r="M899" s="18"/>
      <c r="N899" s="10"/>
      <c r="O899" s="18"/>
      <c r="P899" s="18"/>
      <c r="Q899" s="18"/>
      <c r="R899" s="18"/>
      <c r="S899" s="18"/>
      <c r="W899" s="2"/>
    </row>
    <row r="900" spans="1:23" x14ac:dyDescent="0.25">
      <c r="A900" s="9" t="s">
        <v>1766</v>
      </c>
      <c r="B900" s="17" t="s">
        <v>1769</v>
      </c>
      <c r="C900" s="18">
        <f t="shared" si="58"/>
        <v>191000</v>
      </c>
      <c r="D900" s="18"/>
      <c r="E900" s="18">
        <v>191000</v>
      </c>
      <c r="F900" s="18"/>
      <c r="G900" s="18"/>
      <c r="H900" s="18"/>
      <c r="I900" s="18"/>
      <c r="J900" s="18"/>
      <c r="K900" s="18"/>
      <c r="L900" s="10"/>
      <c r="M900" s="18"/>
      <c r="N900" s="10"/>
      <c r="O900" s="18"/>
      <c r="P900" s="18"/>
      <c r="Q900" s="18"/>
      <c r="R900" s="18"/>
      <c r="S900" s="18"/>
      <c r="W900" s="2"/>
    </row>
    <row r="901" spans="1:23" x14ac:dyDescent="0.25">
      <c r="A901" s="9" t="s">
        <v>1768</v>
      </c>
      <c r="B901" s="17" t="s">
        <v>1771</v>
      </c>
      <c r="C901" s="18">
        <f t="shared" si="58"/>
        <v>165457.81</v>
      </c>
      <c r="D901" s="18"/>
      <c r="E901" s="18">
        <v>165457.81</v>
      </c>
      <c r="F901" s="18"/>
      <c r="G901" s="18"/>
      <c r="H901" s="18"/>
      <c r="I901" s="18"/>
      <c r="J901" s="18"/>
      <c r="K901" s="18"/>
      <c r="L901" s="10"/>
      <c r="M901" s="18"/>
      <c r="N901" s="10"/>
      <c r="O901" s="18"/>
      <c r="P901" s="18"/>
      <c r="Q901" s="18"/>
      <c r="R901" s="18"/>
      <c r="S901" s="18"/>
      <c r="W901" s="2"/>
    </row>
    <row r="902" spans="1:23" x14ac:dyDescent="0.25">
      <c r="A902" s="9" t="s">
        <v>1770</v>
      </c>
      <c r="B902" s="17" t="s">
        <v>1773</v>
      </c>
      <c r="C902" s="18">
        <f t="shared" si="58"/>
        <v>263795.95</v>
      </c>
      <c r="D902" s="18"/>
      <c r="E902" s="18">
        <v>263795.95</v>
      </c>
      <c r="F902" s="18"/>
      <c r="G902" s="18"/>
      <c r="H902" s="18"/>
      <c r="I902" s="18"/>
      <c r="J902" s="18"/>
      <c r="K902" s="18"/>
      <c r="L902" s="10"/>
      <c r="M902" s="18"/>
      <c r="N902" s="10"/>
      <c r="O902" s="18"/>
      <c r="P902" s="18"/>
      <c r="Q902" s="18"/>
      <c r="R902" s="18"/>
      <c r="S902" s="18"/>
      <c r="W902" s="2"/>
    </row>
    <row r="903" spans="1:23" x14ac:dyDescent="0.25">
      <c r="A903" s="9" t="s">
        <v>1772</v>
      </c>
      <c r="B903" s="17" t="s">
        <v>1775</v>
      </c>
      <c r="C903" s="18">
        <f t="shared" si="58"/>
        <v>415101.28</v>
      </c>
      <c r="D903" s="18"/>
      <c r="E903" s="18">
        <v>415101.28</v>
      </c>
      <c r="F903" s="18"/>
      <c r="G903" s="18"/>
      <c r="H903" s="18"/>
      <c r="I903" s="18"/>
      <c r="J903" s="18"/>
      <c r="K903" s="18"/>
      <c r="L903" s="10"/>
      <c r="M903" s="18"/>
      <c r="N903" s="10"/>
      <c r="O903" s="18"/>
      <c r="P903" s="18"/>
      <c r="Q903" s="18"/>
      <c r="R903" s="18"/>
      <c r="S903" s="18"/>
      <c r="W903" s="2"/>
    </row>
    <row r="904" spans="1:23" x14ac:dyDescent="0.25">
      <c r="A904" s="9" t="s">
        <v>1774</v>
      </c>
      <c r="B904" s="17" t="s">
        <v>1777</v>
      </c>
      <c r="C904" s="18">
        <f t="shared" si="58"/>
        <v>8099044.4100000001</v>
      </c>
      <c r="D904" s="18">
        <v>67762.78</v>
      </c>
      <c r="E904" s="18">
        <v>242456.57</v>
      </c>
      <c r="F904" s="18"/>
      <c r="G904" s="18">
        <v>5544533.1600000001</v>
      </c>
      <c r="H904" s="18">
        <v>1236834.5</v>
      </c>
      <c r="I904" s="18">
        <v>1007457.4</v>
      </c>
      <c r="J904" s="18"/>
      <c r="K904" s="18"/>
      <c r="L904" s="10"/>
      <c r="M904" s="18"/>
      <c r="N904" s="10"/>
      <c r="O904" s="18"/>
      <c r="P904" s="18"/>
      <c r="Q904" s="18"/>
      <c r="R904" s="18"/>
      <c r="S904" s="18"/>
      <c r="W904" s="2"/>
    </row>
    <row r="905" spans="1:23" x14ac:dyDescent="0.25">
      <c r="A905" s="9" t="s">
        <v>1776</v>
      </c>
      <c r="B905" s="17" t="s">
        <v>1779</v>
      </c>
      <c r="C905" s="18">
        <f t="shared" si="58"/>
        <v>511730.95</v>
      </c>
      <c r="D905" s="18"/>
      <c r="E905" s="18">
        <v>511730.95</v>
      </c>
      <c r="F905" s="18"/>
      <c r="G905" s="18"/>
      <c r="H905" s="18"/>
      <c r="I905" s="18"/>
      <c r="J905" s="18"/>
      <c r="K905" s="18"/>
      <c r="L905" s="10"/>
      <c r="M905" s="18"/>
      <c r="N905" s="10"/>
      <c r="O905" s="18"/>
      <c r="P905" s="18"/>
      <c r="Q905" s="18"/>
      <c r="R905" s="18"/>
      <c r="S905" s="18"/>
      <c r="W905" s="2"/>
    </row>
    <row r="906" spans="1:23" x14ac:dyDescent="0.25">
      <c r="A906" s="9" t="s">
        <v>1778</v>
      </c>
      <c r="B906" s="17" t="s">
        <v>1781</v>
      </c>
      <c r="C906" s="18">
        <f t="shared" si="58"/>
        <v>118240.98</v>
      </c>
      <c r="D906" s="18"/>
      <c r="E906" s="18">
        <v>118240.98</v>
      </c>
      <c r="F906" s="18"/>
      <c r="G906" s="18"/>
      <c r="H906" s="18"/>
      <c r="I906" s="18"/>
      <c r="J906" s="18"/>
      <c r="K906" s="18"/>
      <c r="L906" s="10"/>
      <c r="M906" s="18"/>
      <c r="N906" s="10"/>
      <c r="O906" s="18"/>
      <c r="P906" s="18"/>
      <c r="Q906" s="18"/>
      <c r="R906" s="18"/>
      <c r="S906" s="18"/>
      <c r="W906" s="2"/>
    </row>
    <row r="907" spans="1:23" x14ac:dyDescent="0.25">
      <c r="A907" s="9" t="s">
        <v>1780</v>
      </c>
      <c r="B907" s="17" t="s">
        <v>1783</v>
      </c>
      <c r="C907" s="18">
        <f t="shared" si="58"/>
        <v>4773700.47</v>
      </c>
      <c r="D907" s="18">
        <v>40190.79</v>
      </c>
      <c r="E907" s="18">
        <v>113878.16</v>
      </c>
      <c r="F907" s="18"/>
      <c r="G907" s="18">
        <v>2451778.9700000002</v>
      </c>
      <c r="H907" s="18">
        <v>1573430.8</v>
      </c>
      <c r="I907" s="18">
        <v>594421.75</v>
      </c>
      <c r="J907" s="18"/>
      <c r="K907" s="18"/>
      <c r="L907" s="10"/>
      <c r="M907" s="18"/>
      <c r="N907" s="10"/>
      <c r="O907" s="18"/>
      <c r="P907" s="18"/>
      <c r="Q907" s="18"/>
      <c r="R907" s="18"/>
      <c r="S907" s="18"/>
      <c r="W907" s="2"/>
    </row>
    <row r="908" spans="1:23" x14ac:dyDescent="0.25">
      <c r="A908" s="9" t="s">
        <v>1782</v>
      </c>
      <c r="B908" s="17" t="s">
        <v>1785</v>
      </c>
      <c r="C908" s="18">
        <f t="shared" si="58"/>
        <v>3633513.29</v>
      </c>
      <c r="D908" s="18">
        <v>30062.28</v>
      </c>
      <c r="E908" s="18">
        <v>148016.65</v>
      </c>
      <c r="F908" s="18"/>
      <c r="G908" s="18">
        <v>1783035.97</v>
      </c>
      <c r="H908" s="18">
        <v>985037.2</v>
      </c>
      <c r="I908" s="18">
        <v>687361.19</v>
      </c>
      <c r="J908" s="18"/>
      <c r="K908" s="18"/>
      <c r="L908" s="10"/>
      <c r="M908" s="18"/>
      <c r="N908" s="10"/>
      <c r="O908" s="18"/>
      <c r="P908" s="18"/>
      <c r="Q908" s="18"/>
      <c r="R908" s="18"/>
      <c r="S908" s="18"/>
      <c r="W908" s="2"/>
    </row>
    <row r="909" spans="1:23" x14ac:dyDescent="0.25">
      <c r="A909" s="9" t="s">
        <v>1784</v>
      </c>
      <c r="B909" s="17" t="s">
        <v>1787</v>
      </c>
      <c r="C909" s="18">
        <f t="shared" si="58"/>
        <v>1098353.82</v>
      </c>
      <c r="D909" s="18"/>
      <c r="E909" s="18">
        <v>1098353.82</v>
      </c>
      <c r="F909" s="18"/>
      <c r="G909" s="18"/>
      <c r="H909" s="18"/>
      <c r="I909" s="18"/>
      <c r="J909" s="18"/>
      <c r="K909" s="18"/>
      <c r="L909" s="10"/>
      <c r="M909" s="18"/>
      <c r="N909" s="10"/>
      <c r="O909" s="18"/>
      <c r="P909" s="18"/>
      <c r="Q909" s="18"/>
      <c r="R909" s="18"/>
      <c r="S909" s="18"/>
      <c r="W909" s="2"/>
    </row>
    <row r="910" spans="1:23" x14ac:dyDescent="0.25">
      <c r="A910" s="9" t="s">
        <v>1786</v>
      </c>
      <c r="B910" s="17" t="s">
        <v>1789</v>
      </c>
      <c r="C910" s="18">
        <f t="shared" si="58"/>
        <v>253475.45</v>
      </c>
      <c r="D910" s="18"/>
      <c r="E910" s="18">
        <v>253475.45</v>
      </c>
      <c r="F910" s="18"/>
      <c r="G910" s="18"/>
      <c r="H910" s="18"/>
      <c r="I910" s="18"/>
      <c r="J910" s="18"/>
      <c r="K910" s="18"/>
      <c r="L910" s="10"/>
      <c r="M910" s="18"/>
      <c r="N910" s="10"/>
      <c r="O910" s="18"/>
      <c r="P910" s="18"/>
      <c r="Q910" s="18"/>
      <c r="R910" s="18"/>
      <c r="S910" s="18"/>
      <c r="W910" s="2"/>
    </row>
    <row r="911" spans="1:23" x14ac:dyDescent="0.25">
      <c r="A911" s="9" t="s">
        <v>1788</v>
      </c>
      <c r="B911" s="17" t="s">
        <v>1791</v>
      </c>
      <c r="C911" s="18">
        <f t="shared" si="58"/>
        <v>1916949.17</v>
      </c>
      <c r="D911" s="18"/>
      <c r="E911" s="18">
        <v>285807.65999999997</v>
      </c>
      <c r="F911" s="18"/>
      <c r="G911" s="18"/>
      <c r="H911" s="18">
        <v>1158831.42</v>
      </c>
      <c r="I911" s="18">
        <v>472310.09</v>
      </c>
      <c r="J911" s="18"/>
      <c r="K911" s="18"/>
      <c r="L911" s="10"/>
      <c r="M911" s="18"/>
      <c r="N911" s="10"/>
      <c r="O911" s="18"/>
      <c r="P911" s="18"/>
      <c r="Q911" s="18"/>
      <c r="R911" s="18"/>
      <c r="S911" s="18"/>
      <c r="W911" s="2"/>
    </row>
    <row r="912" spans="1:23" x14ac:dyDescent="0.25">
      <c r="A912" s="9" t="s">
        <v>1790</v>
      </c>
      <c r="B912" s="17" t="s">
        <v>1793</v>
      </c>
      <c r="C912" s="18">
        <f t="shared" si="58"/>
        <v>246528.38</v>
      </c>
      <c r="D912" s="18"/>
      <c r="E912" s="18">
        <v>246528.38</v>
      </c>
      <c r="F912" s="18"/>
      <c r="G912" s="18"/>
      <c r="H912" s="18"/>
      <c r="I912" s="18"/>
      <c r="J912" s="18"/>
      <c r="K912" s="18"/>
      <c r="L912" s="10"/>
      <c r="M912" s="18"/>
      <c r="N912" s="10"/>
      <c r="O912" s="18"/>
      <c r="P912" s="18"/>
      <c r="Q912" s="18"/>
      <c r="R912" s="18"/>
      <c r="S912" s="18"/>
      <c r="W912" s="2"/>
    </row>
    <row r="913" spans="1:23" x14ac:dyDescent="0.25">
      <c r="A913" s="9" t="s">
        <v>1792</v>
      </c>
      <c r="B913" s="17" t="s">
        <v>1795</v>
      </c>
      <c r="C913" s="18">
        <f t="shared" si="58"/>
        <v>151849.95000000001</v>
      </c>
      <c r="D913" s="18"/>
      <c r="E913" s="18">
        <v>151849.95000000001</v>
      </c>
      <c r="F913" s="18"/>
      <c r="G913" s="18"/>
      <c r="H913" s="18"/>
      <c r="I913" s="18"/>
      <c r="J913" s="18"/>
      <c r="K913" s="18"/>
      <c r="L913" s="10"/>
      <c r="M913" s="18"/>
      <c r="N913" s="10"/>
      <c r="O913" s="18"/>
      <c r="P913" s="18"/>
      <c r="Q913" s="18"/>
      <c r="R913" s="18"/>
      <c r="S913" s="18"/>
      <c r="W913" s="2"/>
    </row>
    <row r="914" spans="1:23" x14ac:dyDescent="0.25">
      <c r="A914" s="9" t="s">
        <v>1794</v>
      </c>
      <c r="B914" s="17" t="s">
        <v>1797</v>
      </c>
      <c r="C914" s="18">
        <f t="shared" si="58"/>
        <v>192636.34</v>
      </c>
      <c r="D914" s="18"/>
      <c r="E914" s="18">
        <v>192636.34</v>
      </c>
      <c r="F914" s="18"/>
      <c r="G914" s="18"/>
      <c r="H914" s="18"/>
      <c r="I914" s="18"/>
      <c r="J914" s="18"/>
      <c r="K914" s="18"/>
      <c r="L914" s="10"/>
      <c r="M914" s="18"/>
      <c r="N914" s="10"/>
      <c r="O914" s="18"/>
      <c r="P914" s="18"/>
      <c r="Q914" s="18"/>
      <c r="R914" s="18"/>
      <c r="S914" s="18"/>
      <c r="W914" s="2"/>
    </row>
    <row r="915" spans="1:23" x14ac:dyDescent="0.25">
      <c r="A915" s="9" t="s">
        <v>1796</v>
      </c>
      <c r="B915" s="17" t="s">
        <v>1799</v>
      </c>
      <c r="C915" s="18">
        <f t="shared" si="58"/>
        <v>289411.19</v>
      </c>
      <c r="D915" s="18"/>
      <c r="E915" s="18">
        <v>289411.19</v>
      </c>
      <c r="F915" s="18"/>
      <c r="G915" s="18"/>
      <c r="H915" s="18"/>
      <c r="I915" s="18"/>
      <c r="J915" s="18"/>
      <c r="K915" s="18"/>
      <c r="L915" s="10"/>
      <c r="M915" s="18"/>
      <c r="N915" s="10"/>
      <c r="O915" s="18"/>
      <c r="P915" s="18"/>
      <c r="Q915" s="18"/>
      <c r="R915" s="18"/>
      <c r="S915" s="18"/>
      <c r="W915" s="2"/>
    </row>
    <row r="916" spans="1:23" x14ac:dyDescent="0.25">
      <c r="A916" s="9" t="s">
        <v>1798</v>
      </c>
      <c r="B916" s="17" t="s">
        <v>1801</v>
      </c>
      <c r="C916" s="18">
        <v>103168.39</v>
      </c>
      <c r="D916" s="18"/>
      <c r="E916" s="18">
        <v>103168.39</v>
      </c>
      <c r="F916" s="18"/>
      <c r="G916" s="18"/>
      <c r="H916" s="18"/>
      <c r="I916" s="18"/>
      <c r="J916" s="18"/>
      <c r="K916" s="18"/>
      <c r="L916" s="10"/>
      <c r="M916" s="18"/>
      <c r="N916" s="10"/>
      <c r="O916" s="18"/>
      <c r="P916" s="18"/>
      <c r="Q916" s="18"/>
      <c r="R916" s="18"/>
      <c r="S916" s="18"/>
      <c r="W916" s="2"/>
    </row>
    <row r="917" spans="1:23" x14ac:dyDescent="0.25">
      <c r="A917" s="9" t="s">
        <v>1800</v>
      </c>
      <c r="B917" s="17" t="s">
        <v>1803</v>
      </c>
      <c r="C917" s="18">
        <f t="shared" ref="C917:C930" si="59">ROUNDUP(SUM(D917+E917+F917+G917+H917+I917+J917+K917+M917+O917+P917+Q917+R917+S917),2)</f>
        <v>216130.67</v>
      </c>
      <c r="D917" s="18"/>
      <c r="E917" s="18">
        <v>216130.67</v>
      </c>
      <c r="F917" s="18"/>
      <c r="G917" s="18"/>
      <c r="H917" s="18"/>
      <c r="I917" s="18"/>
      <c r="J917" s="18"/>
      <c r="K917" s="18"/>
      <c r="L917" s="10"/>
      <c r="M917" s="18"/>
      <c r="N917" s="10"/>
      <c r="O917" s="18"/>
      <c r="P917" s="18"/>
      <c r="Q917" s="18"/>
      <c r="R917" s="18"/>
      <c r="S917" s="18"/>
      <c r="W917" s="2"/>
    </row>
    <row r="918" spans="1:23" x14ac:dyDescent="0.25">
      <c r="A918" s="9" t="s">
        <v>1802</v>
      </c>
      <c r="B918" s="17" t="s">
        <v>1805</v>
      </c>
      <c r="C918" s="18">
        <f t="shared" si="59"/>
        <v>340838.94</v>
      </c>
      <c r="D918" s="18"/>
      <c r="E918" s="18">
        <v>340838.94</v>
      </c>
      <c r="F918" s="18"/>
      <c r="G918" s="18"/>
      <c r="H918" s="18"/>
      <c r="I918" s="18"/>
      <c r="J918" s="18"/>
      <c r="K918" s="18"/>
      <c r="L918" s="10"/>
      <c r="M918" s="18"/>
      <c r="N918" s="10"/>
      <c r="O918" s="18"/>
      <c r="P918" s="18"/>
      <c r="Q918" s="18"/>
      <c r="R918" s="18"/>
      <c r="S918" s="18"/>
      <c r="W918" s="2"/>
    </row>
    <row r="919" spans="1:23" x14ac:dyDescent="0.25">
      <c r="A919" s="9" t="s">
        <v>1804</v>
      </c>
      <c r="B919" s="17" t="s">
        <v>1807</v>
      </c>
      <c r="C919" s="18">
        <f t="shared" si="59"/>
        <v>221204.66</v>
      </c>
      <c r="D919" s="18"/>
      <c r="E919" s="18">
        <v>221204.66</v>
      </c>
      <c r="F919" s="18"/>
      <c r="G919" s="18"/>
      <c r="H919" s="18"/>
      <c r="I919" s="18"/>
      <c r="J919" s="18"/>
      <c r="K919" s="18"/>
      <c r="L919" s="10"/>
      <c r="M919" s="18"/>
      <c r="N919" s="10"/>
      <c r="O919" s="18"/>
      <c r="P919" s="18"/>
      <c r="Q919" s="18"/>
      <c r="R919" s="18"/>
      <c r="S919" s="18"/>
      <c r="W919" s="2"/>
    </row>
    <row r="920" spans="1:23" x14ac:dyDescent="0.25">
      <c r="A920" s="9" t="s">
        <v>1806</v>
      </c>
      <c r="B920" s="17" t="s">
        <v>1809</v>
      </c>
      <c r="C920" s="18">
        <f t="shared" si="59"/>
        <v>270383.34999999998</v>
      </c>
      <c r="D920" s="18"/>
      <c r="E920" s="18">
        <v>270383.34999999998</v>
      </c>
      <c r="F920" s="18"/>
      <c r="G920" s="18"/>
      <c r="H920" s="18"/>
      <c r="I920" s="18"/>
      <c r="J920" s="18"/>
      <c r="K920" s="18"/>
      <c r="L920" s="10"/>
      <c r="M920" s="18"/>
      <c r="N920" s="10"/>
      <c r="O920" s="18"/>
      <c r="P920" s="18"/>
      <c r="Q920" s="18"/>
      <c r="R920" s="18"/>
      <c r="S920" s="18"/>
      <c r="W920" s="2"/>
    </row>
    <row r="921" spans="1:23" x14ac:dyDescent="0.25">
      <c r="A921" s="9" t="s">
        <v>1808</v>
      </c>
      <c r="B921" s="17" t="s">
        <v>1811</v>
      </c>
      <c r="C921" s="18">
        <f t="shared" si="59"/>
        <v>435649.25</v>
      </c>
      <c r="D921" s="18"/>
      <c r="E921" s="18">
        <v>435649.25</v>
      </c>
      <c r="F921" s="18"/>
      <c r="G921" s="18"/>
      <c r="H921" s="18"/>
      <c r="I921" s="18"/>
      <c r="J921" s="18"/>
      <c r="K921" s="18"/>
      <c r="L921" s="10"/>
      <c r="M921" s="18"/>
      <c r="N921" s="10"/>
      <c r="O921" s="18"/>
      <c r="P921" s="18"/>
      <c r="Q921" s="18"/>
      <c r="R921" s="18"/>
      <c r="S921" s="18"/>
      <c r="W921" s="2"/>
    </row>
    <row r="922" spans="1:23" x14ac:dyDescent="0.25">
      <c r="A922" s="9" t="s">
        <v>1810</v>
      </c>
      <c r="B922" s="17" t="s">
        <v>1813</v>
      </c>
      <c r="C922" s="18">
        <f t="shared" si="59"/>
        <v>112916.34</v>
      </c>
      <c r="D922" s="18"/>
      <c r="E922" s="18">
        <v>112916.34</v>
      </c>
      <c r="F922" s="18"/>
      <c r="G922" s="18"/>
      <c r="H922" s="18"/>
      <c r="I922" s="18"/>
      <c r="J922" s="18"/>
      <c r="K922" s="18"/>
      <c r="L922" s="10"/>
      <c r="M922" s="18"/>
      <c r="N922" s="10"/>
      <c r="O922" s="18"/>
      <c r="P922" s="18"/>
      <c r="Q922" s="18"/>
      <c r="R922" s="18"/>
      <c r="S922" s="18"/>
      <c r="W922" s="2"/>
    </row>
    <row r="923" spans="1:23" x14ac:dyDescent="0.25">
      <c r="A923" s="9" t="s">
        <v>1812</v>
      </c>
      <c r="B923" s="17" t="s">
        <v>1815</v>
      </c>
      <c r="C923" s="18">
        <f t="shared" si="59"/>
        <v>244396.63</v>
      </c>
      <c r="D923" s="18"/>
      <c r="E923" s="18">
        <v>244396.63</v>
      </c>
      <c r="F923" s="18"/>
      <c r="G923" s="18"/>
      <c r="H923" s="18"/>
      <c r="I923" s="18"/>
      <c r="J923" s="18"/>
      <c r="K923" s="18"/>
      <c r="L923" s="10"/>
      <c r="M923" s="18"/>
      <c r="N923" s="10"/>
      <c r="O923" s="18"/>
      <c r="P923" s="18"/>
      <c r="Q923" s="18"/>
      <c r="R923" s="18"/>
      <c r="S923" s="18"/>
      <c r="W923" s="2"/>
    </row>
    <row r="924" spans="1:23" x14ac:dyDescent="0.25">
      <c r="A924" s="9" t="s">
        <v>1814</v>
      </c>
      <c r="B924" s="17" t="s">
        <v>1817</v>
      </c>
      <c r="C924" s="18">
        <f t="shared" si="59"/>
        <v>217761.76</v>
      </c>
      <c r="D924" s="18"/>
      <c r="E924" s="18">
        <v>217761.76</v>
      </c>
      <c r="F924" s="18"/>
      <c r="G924" s="18"/>
      <c r="H924" s="18"/>
      <c r="I924" s="18"/>
      <c r="J924" s="18"/>
      <c r="K924" s="18"/>
      <c r="L924" s="10"/>
      <c r="M924" s="18"/>
      <c r="N924" s="10"/>
      <c r="O924" s="18"/>
      <c r="P924" s="18"/>
      <c r="Q924" s="18"/>
      <c r="R924" s="18"/>
      <c r="S924" s="18"/>
      <c r="W924" s="2"/>
    </row>
    <row r="925" spans="1:23" x14ac:dyDescent="0.25">
      <c r="A925" s="9" t="s">
        <v>1816</v>
      </c>
      <c r="B925" s="17" t="s">
        <v>1819</v>
      </c>
      <c r="C925" s="18">
        <f t="shared" si="59"/>
        <v>327531.23</v>
      </c>
      <c r="D925" s="18"/>
      <c r="E925" s="18">
        <v>327531.23</v>
      </c>
      <c r="F925" s="18"/>
      <c r="G925" s="18"/>
      <c r="H925" s="18"/>
      <c r="I925" s="18"/>
      <c r="J925" s="18"/>
      <c r="K925" s="18"/>
      <c r="L925" s="10"/>
      <c r="M925" s="18"/>
      <c r="N925" s="10"/>
      <c r="O925" s="18"/>
      <c r="P925" s="18"/>
      <c r="Q925" s="18"/>
      <c r="R925" s="18"/>
      <c r="S925" s="18"/>
      <c r="W925" s="2"/>
    </row>
    <row r="926" spans="1:23" x14ac:dyDescent="0.25">
      <c r="A926" s="9" t="s">
        <v>1818</v>
      </c>
      <c r="B926" s="17" t="s">
        <v>1821</v>
      </c>
      <c r="C926" s="18">
        <f t="shared" si="59"/>
        <v>279166.34000000003</v>
      </c>
      <c r="D926" s="18"/>
      <c r="E926" s="18">
        <v>279166.34000000003</v>
      </c>
      <c r="F926" s="18"/>
      <c r="G926" s="18"/>
      <c r="H926" s="18"/>
      <c r="I926" s="18"/>
      <c r="J926" s="18"/>
      <c r="K926" s="18"/>
      <c r="L926" s="10"/>
      <c r="M926" s="18"/>
      <c r="N926" s="10"/>
      <c r="O926" s="18"/>
      <c r="P926" s="18"/>
      <c r="Q926" s="18"/>
      <c r="R926" s="18"/>
      <c r="S926" s="18"/>
      <c r="W926" s="2"/>
    </row>
    <row r="927" spans="1:23" x14ac:dyDescent="0.25">
      <c r="A927" s="9" t="s">
        <v>1820</v>
      </c>
      <c r="B927" s="17" t="s">
        <v>1823</v>
      </c>
      <c r="C927" s="18">
        <f t="shared" si="59"/>
        <v>293040.09000000003</v>
      </c>
      <c r="D927" s="18"/>
      <c r="E927" s="18">
        <v>293040.09000000003</v>
      </c>
      <c r="F927" s="18"/>
      <c r="G927" s="18"/>
      <c r="H927" s="18"/>
      <c r="I927" s="18"/>
      <c r="J927" s="18"/>
      <c r="K927" s="18"/>
      <c r="L927" s="10"/>
      <c r="M927" s="18"/>
      <c r="N927" s="10"/>
      <c r="O927" s="18"/>
      <c r="P927" s="18"/>
      <c r="Q927" s="18"/>
      <c r="R927" s="18"/>
      <c r="S927" s="18"/>
      <c r="W927" s="2"/>
    </row>
    <row r="928" spans="1:23" x14ac:dyDescent="0.25">
      <c r="A928" s="9" t="s">
        <v>1822</v>
      </c>
      <c r="B928" s="17" t="s">
        <v>1825</v>
      </c>
      <c r="C928" s="18">
        <f t="shared" si="59"/>
        <v>174396.87</v>
      </c>
      <c r="D928" s="18"/>
      <c r="E928" s="18">
        <v>174396.87</v>
      </c>
      <c r="F928" s="18"/>
      <c r="G928" s="18"/>
      <c r="H928" s="18"/>
      <c r="I928" s="18"/>
      <c r="J928" s="18"/>
      <c r="K928" s="18"/>
      <c r="L928" s="10"/>
      <c r="M928" s="18"/>
      <c r="N928" s="10"/>
      <c r="O928" s="18"/>
      <c r="P928" s="18"/>
      <c r="Q928" s="18"/>
      <c r="R928" s="18"/>
      <c r="S928" s="18"/>
      <c r="W928" s="2"/>
    </row>
    <row r="929" spans="1:23" x14ac:dyDescent="0.25">
      <c r="A929" s="9" t="s">
        <v>1824</v>
      </c>
      <c r="B929" s="17" t="s">
        <v>1827</v>
      </c>
      <c r="C929" s="18">
        <f t="shared" si="59"/>
        <v>287558.34999999998</v>
      </c>
      <c r="D929" s="18"/>
      <c r="E929" s="18">
        <v>287558.34999999998</v>
      </c>
      <c r="F929" s="18"/>
      <c r="G929" s="18"/>
      <c r="H929" s="18"/>
      <c r="I929" s="18"/>
      <c r="J929" s="18"/>
      <c r="K929" s="18"/>
      <c r="L929" s="10"/>
      <c r="M929" s="18"/>
      <c r="N929" s="10"/>
      <c r="O929" s="18"/>
      <c r="P929" s="18"/>
      <c r="Q929" s="18"/>
      <c r="R929" s="18"/>
      <c r="S929" s="18"/>
      <c r="W929" s="2"/>
    </row>
    <row r="930" spans="1:23" x14ac:dyDescent="0.25">
      <c r="A930" s="9" t="s">
        <v>1826</v>
      </c>
      <c r="B930" s="17" t="s">
        <v>1829</v>
      </c>
      <c r="C930" s="18">
        <f t="shared" si="59"/>
        <v>188115.53</v>
      </c>
      <c r="D930" s="18"/>
      <c r="E930" s="18">
        <v>188115.53</v>
      </c>
      <c r="F930" s="18"/>
      <c r="G930" s="18"/>
      <c r="H930" s="18"/>
      <c r="I930" s="18"/>
      <c r="J930" s="18"/>
      <c r="K930" s="18"/>
      <c r="L930" s="10"/>
      <c r="M930" s="18"/>
      <c r="N930" s="10"/>
      <c r="O930" s="18"/>
      <c r="P930" s="18"/>
      <c r="Q930" s="18"/>
      <c r="R930" s="18"/>
      <c r="S930" s="18"/>
      <c r="W930" s="2"/>
    </row>
    <row r="931" spans="1:23" ht="30" x14ac:dyDescent="0.25">
      <c r="A931" s="33"/>
      <c r="B931" s="33" t="s">
        <v>1830</v>
      </c>
      <c r="C931" s="18">
        <f>ROUND(D931+E931+F931+G931+H931+I931+J931+K931+M931+O931+P931+Q931+R931+S931,2)</f>
        <v>32684147.129999999</v>
      </c>
      <c r="D931" s="18">
        <f t="shared" ref="D931:S931" si="60">SUM(D882:D930)</f>
        <v>138015.85</v>
      </c>
      <c r="E931" s="18">
        <f t="shared" si="60"/>
        <v>12595690.029999999</v>
      </c>
      <c r="F931" s="18">
        <f t="shared" si="60"/>
        <v>0</v>
      </c>
      <c r="G931" s="18">
        <f t="shared" si="60"/>
        <v>9779348.1000000015</v>
      </c>
      <c r="H931" s="18">
        <f t="shared" si="60"/>
        <v>5843902.1200000001</v>
      </c>
      <c r="I931" s="18">
        <f t="shared" si="60"/>
        <v>4327191.03</v>
      </c>
      <c r="J931" s="18">
        <f t="shared" si="60"/>
        <v>0</v>
      </c>
      <c r="K931" s="18">
        <f t="shared" si="60"/>
        <v>0</v>
      </c>
      <c r="L931" s="10">
        <f t="shared" si="60"/>
        <v>0</v>
      </c>
      <c r="M931" s="18">
        <f t="shared" si="60"/>
        <v>0</v>
      </c>
      <c r="N931" s="18" t="s">
        <v>42</v>
      </c>
      <c r="O931" s="18">
        <f t="shared" si="60"/>
        <v>0</v>
      </c>
      <c r="P931" s="18">
        <f t="shared" si="60"/>
        <v>0</v>
      </c>
      <c r="Q931" s="18">
        <f t="shared" si="60"/>
        <v>0</v>
      </c>
      <c r="R931" s="18">
        <f t="shared" si="60"/>
        <v>0</v>
      </c>
      <c r="S931" s="18">
        <f t="shared" si="60"/>
        <v>0</v>
      </c>
    </row>
    <row r="932" spans="1:23" ht="15" customHeight="1" x14ac:dyDescent="0.25">
      <c r="A932" s="34"/>
      <c r="B932" s="34" t="s">
        <v>1831</v>
      </c>
      <c r="C932" s="19"/>
      <c r="D932" s="13"/>
      <c r="E932" s="13"/>
      <c r="F932" s="13"/>
      <c r="G932" s="13"/>
      <c r="H932" s="13"/>
      <c r="I932" s="13"/>
      <c r="J932" s="13"/>
      <c r="K932" s="13"/>
      <c r="L932" s="14"/>
      <c r="M932" s="13"/>
      <c r="N932" s="14"/>
      <c r="O932" s="13"/>
      <c r="P932" s="13"/>
      <c r="Q932" s="13"/>
      <c r="R932" s="13"/>
      <c r="S932" s="13"/>
    </row>
    <row r="933" spans="1:23" x14ac:dyDescent="0.25">
      <c r="A933" s="9" t="s">
        <v>1828</v>
      </c>
      <c r="B933" s="17" t="s">
        <v>1833</v>
      </c>
      <c r="C933" s="18">
        <f t="shared" ref="C933:C965" si="61">ROUNDUP(SUM(D933+E933+F933+G933+H933+I933+J933+K933+M933+O933+P933+Q933+R933+S933),2)</f>
        <v>355253.3</v>
      </c>
      <c r="D933" s="18"/>
      <c r="E933" s="18">
        <v>355253.3</v>
      </c>
      <c r="F933" s="18"/>
      <c r="G933" s="18"/>
      <c r="H933" s="18"/>
      <c r="I933" s="18"/>
      <c r="J933" s="18"/>
      <c r="K933" s="18"/>
      <c r="L933" s="10"/>
      <c r="M933" s="18"/>
      <c r="N933" s="10"/>
      <c r="O933" s="18"/>
      <c r="P933" s="18"/>
      <c r="Q933" s="18"/>
      <c r="R933" s="18"/>
      <c r="S933" s="18"/>
    </row>
    <row r="934" spans="1:23" x14ac:dyDescent="0.25">
      <c r="A934" s="9" t="s">
        <v>1832</v>
      </c>
      <c r="B934" s="17" t="s">
        <v>1835</v>
      </c>
      <c r="C934" s="18">
        <f t="shared" si="61"/>
        <v>57337.87</v>
      </c>
      <c r="D934" s="18"/>
      <c r="E934" s="18">
        <v>57337.87</v>
      </c>
      <c r="F934" s="18"/>
      <c r="G934" s="18"/>
      <c r="H934" s="18"/>
      <c r="I934" s="18"/>
      <c r="J934" s="18"/>
      <c r="K934" s="18"/>
      <c r="L934" s="10"/>
      <c r="M934" s="18"/>
      <c r="N934" s="10"/>
      <c r="O934" s="18"/>
      <c r="P934" s="18"/>
      <c r="Q934" s="18"/>
      <c r="R934" s="18"/>
      <c r="S934" s="18"/>
    </row>
    <row r="935" spans="1:23" x14ac:dyDescent="0.25">
      <c r="A935" s="9" t="s">
        <v>1834</v>
      </c>
      <c r="B935" s="17" t="s">
        <v>1837</v>
      </c>
      <c r="C935" s="18">
        <f t="shared" si="61"/>
        <v>2685025.46</v>
      </c>
      <c r="D935" s="18">
        <v>52273.59</v>
      </c>
      <c r="E935" s="18"/>
      <c r="F935" s="18"/>
      <c r="G935" s="18"/>
      <c r="H935" s="18">
        <v>634992.97</v>
      </c>
      <c r="I935" s="18">
        <v>228552.24</v>
      </c>
      <c r="J935" s="18">
        <v>1769206.66</v>
      </c>
      <c r="K935" s="18"/>
      <c r="L935" s="10"/>
      <c r="M935" s="18"/>
      <c r="N935" s="10"/>
      <c r="O935" s="18"/>
      <c r="P935" s="18"/>
      <c r="Q935" s="18"/>
      <c r="R935" s="18"/>
      <c r="S935" s="18"/>
    </row>
    <row r="936" spans="1:23" x14ac:dyDescent="0.25">
      <c r="A936" s="9" t="s">
        <v>1836</v>
      </c>
      <c r="B936" s="17" t="s">
        <v>1839</v>
      </c>
      <c r="C936" s="18">
        <f t="shared" si="61"/>
        <v>380260.18</v>
      </c>
      <c r="D936" s="18"/>
      <c r="E936" s="18">
        <v>380260.18</v>
      </c>
      <c r="F936" s="18"/>
      <c r="G936" s="18"/>
      <c r="H936" s="18"/>
      <c r="I936" s="18"/>
      <c r="J936" s="18"/>
      <c r="K936" s="18"/>
      <c r="L936" s="10"/>
      <c r="M936" s="18"/>
      <c r="N936" s="10"/>
      <c r="O936" s="18"/>
      <c r="P936" s="18"/>
      <c r="Q936" s="18"/>
      <c r="R936" s="18"/>
      <c r="S936" s="18"/>
    </row>
    <row r="937" spans="1:23" x14ac:dyDescent="0.25">
      <c r="A937" s="9" t="s">
        <v>1838</v>
      </c>
      <c r="B937" s="17" t="s">
        <v>1841</v>
      </c>
      <c r="C937" s="18">
        <f t="shared" si="61"/>
        <v>221611.86</v>
      </c>
      <c r="D937" s="18"/>
      <c r="E937" s="18">
        <v>221611.86</v>
      </c>
      <c r="F937" s="18"/>
      <c r="G937" s="18"/>
      <c r="H937" s="18"/>
      <c r="I937" s="18"/>
      <c r="J937" s="18"/>
      <c r="K937" s="18"/>
      <c r="L937" s="10"/>
      <c r="M937" s="18"/>
      <c r="N937" s="10"/>
      <c r="O937" s="18"/>
      <c r="P937" s="18"/>
      <c r="Q937" s="18"/>
      <c r="R937" s="18"/>
      <c r="S937" s="18"/>
    </row>
    <row r="938" spans="1:23" x14ac:dyDescent="0.25">
      <c r="A938" s="9" t="s">
        <v>1840</v>
      </c>
      <c r="B938" s="17" t="s">
        <v>1843</v>
      </c>
      <c r="C938" s="18">
        <f t="shared" si="61"/>
        <v>307386.03999999998</v>
      </c>
      <c r="D938" s="18"/>
      <c r="E938" s="18">
        <v>307386.03999999998</v>
      </c>
      <c r="F938" s="18"/>
      <c r="G938" s="18"/>
      <c r="H938" s="18"/>
      <c r="I938" s="18"/>
      <c r="J938" s="18"/>
      <c r="K938" s="18"/>
      <c r="L938" s="10"/>
      <c r="M938" s="18"/>
      <c r="N938" s="10"/>
      <c r="O938" s="18"/>
      <c r="P938" s="18"/>
      <c r="Q938" s="18"/>
      <c r="R938" s="18"/>
      <c r="S938" s="18"/>
    </row>
    <row r="939" spans="1:23" x14ac:dyDescent="0.25">
      <c r="A939" s="9" t="s">
        <v>1842</v>
      </c>
      <c r="B939" s="17" t="s">
        <v>1845</v>
      </c>
      <c r="C939" s="18">
        <f t="shared" si="61"/>
        <v>125986.3</v>
      </c>
      <c r="D939" s="18"/>
      <c r="E939" s="18">
        <v>125986.3</v>
      </c>
      <c r="F939" s="18"/>
      <c r="G939" s="18"/>
      <c r="H939" s="18"/>
      <c r="I939" s="18"/>
      <c r="J939" s="18"/>
      <c r="K939" s="18"/>
      <c r="L939" s="10"/>
      <c r="M939" s="18"/>
      <c r="N939" s="10"/>
      <c r="O939" s="18"/>
      <c r="P939" s="18"/>
      <c r="Q939" s="18"/>
      <c r="R939" s="18"/>
      <c r="S939" s="18"/>
    </row>
    <row r="940" spans="1:23" x14ac:dyDescent="0.25">
      <c r="A940" s="9" t="s">
        <v>1844</v>
      </c>
      <c r="B940" s="17" t="s">
        <v>1847</v>
      </c>
      <c r="C940" s="18">
        <f t="shared" si="61"/>
        <v>142318.51999999999</v>
      </c>
      <c r="D940" s="18"/>
      <c r="E940" s="18">
        <v>142318.51999999999</v>
      </c>
      <c r="F940" s="18"/>
      <c r="G940" s="18"/>
      <c r="H940" s="18"/>
      <c r="I940" s="18"/>
      <c r="J940" s="18"/>
      <c r="K940" s="18"/>
      <c r="L940" s="10"/>
      <c r="M940" s="18"/>
      <c r="N940" s="10"/>
      <c r="O940" s="18"/>
      <c r="P940" s="18"/>
      <c r="Q940" s="18"/>
      <c r="R940" s="18"/>
      <c r="S940" s="18"/>
    </row>
    <row r="941" spans="1:23" x14ac:dyDescent="0.25">
      <c r="A941" s="9" t="s">
        <v>1846</v>
      </c>
      <c r="B941" s="17" t="s">
        <v>1849</v>
      </c>
      <c r="C941" s="18">
        <f t="shared" si="61"/>
        <v>44936.55</v>
      </c>
      <c r="D941" s="18"/>
      <c r="E941" s="18">
        <v>44936.55</v>
      </c>
      <c r="F941" s="18"/>
      <c r="G941" s="18"/>
      <c r="H941" s="18"/>
      <c r="I941" s="18"/>
      <c r="J941" s="18"/>
      <c r="K941" s="18"/>
      <c r="L941" s="10"/>
      <c r="M941" s="18"/>
      <c r="N941" s="10"/>
      <c r="O941" s="18"/>
      <c r="P941" s="18"/>
      <c r="Q941" s="18"/>
      <c r="R941" s="18"/>
      <c r="S941" s="18"/>
    </row>
    <row r="942" spans="1:23" x14ac:dyDescent="0.25">
      <c r="A942" s="9" t="s">
        <v>1848</v>
      </c>
      <c r="B942" s="17" t="s">
        <v>1851</v>
      </c>
      <c r="C942" s="18">
        <f t="shared" si="61"/>
        <v>326284.49</v>
      </c>
      <c r="D942" s="18"/>
      <c r="E942" s="18">
        <v>326284.49</v>
      </c>
      <c r="F942" s="18"/>
      <c r="G942" s="18"/>
      <c r="H942" s="18"/>
      <c r="I942" s="18"/>
      <c r="J942" s="18"/>
      <c r="K942" s="18"/>
      <c r="L942" s="10"/>
      <c r="M942" s="18"/>
      <c r="N942" s="10"/>
      <c r="O942" s="18"/>
      <c r="P942" s="18"/>
      <c r="Q942" s="18"/>
      <c r="R942" s="18"/>
      <c r="S942" s="18"/>
    </row>
    <row r="943" spans="1:23" x14ac:dyDescent="0.25">
      <c r="A943" s="9" t="s">
        <v>1850</v>
      </c>
      <c r="B943" s="17" t="s">
        <v>1853</v>
      </c>
      <c r="C943" s="18">
        <f t="shared" si="61"/>
        <v>384609.24</v>
      </c>
      <c r="D943" s="18"/>
      <c r="E943" s="18">
        <v>384609.24</v>
      </c>
      <c r="F943" s="18"/>
      <c r="G943" s="18"/>
      <c r="H943" s="18"/>
      <c r="I943" s="18"/>
      <c r="J943" s="18"/>
      <c r="K943" s="18"/>
      <c r="L943" s="10"/>
      <c r="M943" s="18"/>
      <c r="N943" s="10"/>
      <c r="O943" s="18"/>
      <c r="P943" s="18"/>
      <c r="Q943" s="18"/>
      <c r="R943" s="18"/>
      <c r="S943" s="18"/>
    </row>
    <row r="944" spans="1:23" x14ac:dyDescent="0.25">
      <c r="A944" s="9" t="s">
        <v>1852</v>
      </c>
      <c r="B944" s="17" t="s">
        <v>1855</v>
      </c>
      <c r="C944" s="18">
        <f t="shared" si="61"/>
        <v>117241.76</v>
      </c>
      <c r="D944" s="18"/>
      <c r="E944" s="18">
        <v>117241.76</v>
      </c>
      <c r="F944" s="18"/>
      <c r="G944" s="18"/>
      <c r="H944" s="18"/>
      <c r="I944" s="18"/>
      <c r="J944" s="18"/>
      <c r="K944" s="18"/>
      <c r="L944" s="10"/>
      <c r="M944" s="18"/>
      <c r="N944" s="10"/>
      <c r="O944" s="18"/>
      <c r="P944" s="18"/>
      <c r="Q944" s="18"/>
      <c r="R944" s="18"/>
      <c r="S944" s="18"/>
    </row>
    <row r="945" spans="1:19" x14ac:dyDescent="0.25">
      <c r="A945" s="9" t="s">
        <v>1854</v>
      </c>
      <c r="B945" s="17" t="s">
        <v>1857</v>
      </c>
      <c r="C945" s="18">
        <f t="shared" si="61"/>
        <v>423546.32</v>
      </c>
      <c r="D945" s="18"/>
      <c r="E945" s="18">
        <v>423546.32</v>
      </c>
      <c r="F945" s="18"/>
      <c r="G945" s="18"/>
      <c r="H945" s="18"/>
      <c r="I945" s="18"/>
      <c r="J945" s="18"/>
      <c r="K945" s="18"/>
      <c r="L945" s="10"/>
      <c r="M945" s="18"/>
      <c r="N945" s="10"/>
      <c r="O945" s="18"/>
      <c r="P945" s="18"/>
      <c r="Q945" s="18"/>
      <c r="R945" s="18"/>
      <c r="S945" s="18"/>
    </row>
    <row r="946" spans="1:19" x14ac:dyDescent="0.25">
      <c r="A946" s="9" t="s">
        <v>1856</v>
      </c>
      <c r="B946" s="17" t="s">
        <v>1859</v>
      </c>
      <c r="C946" s="18">
        <f t="shared" si="61"/>
        <v>104965.68</v>
      </c>
      <c r="D946" s="18"/>
      <c r="E946" s="18">
        <v>104965.68</v>
      </c>
      <c r="F946" s="18"/>
      <c r="G946" s="18"/>
      <c r="H946" s="18"/>
      <c r="I946" s="18"/>
      <c r="J946" s="18"/>
      <c r="K946" s="18"/>
      <c r="L946" s="10"/>
      <c r="M946" s="18"/>
      <c r="N946" s="10"/>
      <c r="O946" s="18"/>
      <c r="P946" s="18"/>
      <c r="Q946" s="18"/>
      <c r="R946" s="18"/>
      <c r="S946" s="18"/>
    </row>
    <row r="947" spans="1:19" x14ac:dyDescent="0.25">
      <c r="A947" s="9" t="s">
        <v>1858</v>
      </c>
      <c r="B947" s="17" t="s">
        <v>1861</v>
      </c>
      <c r="C947" s="18">
        <f t="shared" si="61"/>
        <v>342102.85</v>
      </c>
      <c r="D947" s="18"/>
      <c r="E947" s="18">
        <v>342102.85</v>
      </c>
      <c r="F947" s="18"/>
      <c r="G947" s="18"/>
      <c r="H947" s="18"/>
      <c r="I947" s="18"/>
      <c r="J947" s="18"/>
      <c r="K947" s="18"/>
      <c r="L947" s="10"/>
      <c r="M947" s="18"/>
      <c r="N947" s="10"/>
      <c r="O947" s="18"/>
      <c r="P947" s="18"/>
      <c r="Q947" s="18"/>
      <c r="R947" s="18"/>
      <c r="S947" s="18"/>
    </row>
    <row r="948" spans="1:19" x14ac:dyDescent="0.25">
      <c r="A948" s="9" t="s">
        <v>1860</v>
      </c>
      <c r="B948" s="17" t="s">
        <v>1863</v>
      </c>
      <c r="C948" s="18">
        <f t="shared" si="61"/>
        <v>299195.53999999998</v>
      </c>
      <c r="D948" s="18"/>
      <c r="E948" s="18">
        <v>299195.53999999998</v>
      </c>
      <c r="F948" s="18"/>
      <c r="G948" s="18"/>
      <c r="H948" s="18"/>
      <c r="I948" s="18"/>
      <c r="J948" s="18"/>
      <c r="K948" s="18"/>
      <c r="L948" s="10"/>
      <c r="M948" s="18"/>
      <c r="N948" s="10"/>
      <c r="O948" s="18"/>
      <c r="P948" s="18"/>
      <c r="Q948" s="18"/>
      <c r="R948" s="18"/>
      <c r="S948" s="18"/>
    </row>
    <row r="949" spans="1:19" x14ac:dyDescent="0.25">
      <c r="A949" s="9" t="s">
        <v>1862</v>
      </c>
      <c r="B949" s="17" t="s">
        <v>1865</v>
      </c>
      <c r="C949" s="18">
        <f t="shared" si="61"/>
        <v>273502.78000000003</v>
      </c>
      <c r="D949" s="18"/>
      <c r="E949" s="18">
        <v>273502.78000000003</v>
      </c>
      <c r="F949" s="18"/>
      <c r="G949" s="18"/>
      <c r="H949" s="18"/>
      <c r="I949" s="18"/>
      <c r="J949" s="18"/>
      <c r="K949" s="18"/>
      <c r="L949" s="10"/>
      <c r="M949" s="18"/>
      <c r="N949" s="10"/>
      <c r="O949" s="18"/>
      <c r="P949" s="18"/>
      <c r="Q949" s="18"/>
      <c r="R949" s="18"/>
      <c r="S949" s="18"/>
    </row>
    <row r="950" spans="1:19" x14ac:dyDescent="0.25">
      <c r="A950" s="9" t="s">
        <v>1864</v>
      </c>
      <c r="B950" s="17" t="s">
        <v>1867</v>
      </c>
      <c r="C950" s="18">
        <f t="shared" si="61"/>
        <v>242740.72</v>
      </c>
      <c r="D950" s="18"/>
      <c r="E950" s="18">
        <v>242740.72</v>
      </c>
      <c r="F950" s="18"/>
      <c r="G950" s="18"/>
      <c r="H950" s="18"/>
      <c r="I950" s="18"/>
      <c r="J950" s="18"/>
      <c r="K950" s="18"/>
      <c r="L950" s="10"/>
      <c r="M950" s="18"/>
      <c r="N950" s="10"/>
      <c r="O950" s="18"/>
      <c r="P950" s="18"/>
      <c r="Q950" s="18"/>
      <c r="R950" s="18"/>
      <c r="S950" s="18"/>
    </row>
    <row r="951" spans="1:19" x14ac:dyDescent="0.25">
      <c r="A951" s="9" t="s">
        <v>1866</v>
      </c>
      <c r="B951" s="17" t="s">
        <v>1869</v>
      </c>
      <c r="C951" s="18">
        <f t="shared" si="61"/>
        <v>336472.57</v>
      </c>
      <c r="D951" s="18"/>
      <c r="E951" s="18">
        <v>336472.57</v>
      </c>
      <c r="F951" s="18"/>
      <c r="G951" s="18"/>
      <c r="H951" s="18"/>
      <c r="I951" s="18"/>
      <c r="J951" s="18"/>
      <c r="K951" s="18"/>
      <c r="L951" s="10"/>
      <c r="M951" s="18"/>
      <c r="N951" s="10"/>
      <c r="O951" s="18"/>
      <c r="P951" s="18"/>
      <c r="Q951" s="18"/>
      <c r="R951" s="18"/>
      <c r="S951" s="18"/>
    </row>
    <row r="952" spans="1:19" x14ac:dyDescent="0.25">
      <c r="A952" s="9" t="s">
        <v>1868</v>
      </c>
      <c r="B952" s="17" t="s">
        <v>1871</v>
      </c>
      <c r="C952" s="18">
        <f t="shared" si="61"/>
        <v>140318.9</v>
      </c>
      <c r="D952" s="18"/>
      <c r="E952" s="18">
        <v>140318.9</v>
      </c>
      <c r="F952" s="18"/>
      <c r="G952" s="18"/>
      <c r="H952" s="18"/>
      <c r="I952" s="18"/>
      <c r="J952" s="18"/>
      <c r="K952" s="18"/>
      <c r="L952" s="10"/>
      <c r="M952" s="18"/>
      <c r="N952" s="10"/>
      <c r="O952" s="18"/>
      <c r="P952" s="18"/>
      <c r="Q952" s="18"/>
      <c r="R952" s="18"/>
      <c r="S952" s="18"/>
    </row>
    <row r="953" spans="1:19" x14ac:dyDescent="0.25">
      <c r="A953" s="9" t="s">
        <v>1870</v>
      </c>
      <c r="B953" s="17" t="s">
        <v>1873</v>
      </c>
      <c r="C953" s="18">
        <f t="shared" si="61"/>
        <v>301736.56</v>
      </c>
      <c r="D953" s="18"/>
      <c r="E953" s="18">
        <v>301736.56</v>
      </c>
      <c r="F953" s="18"/>
      <c r="G953" s="18"/>
      <c r="H953" s="18"/>
      <c r="I953" s="18"/>
      <c r="J953" s="18"/>
      <c r="K953" s="18"/>
      <c r="L953" s="10"/>
      <c r="M953" s="18"/>
      <c r="N953" s="10"/>
      <c r="O953" s="18"/>
      <c r="P953" s="18"/>
      <c r="Q953" s="18"/>
      <c r="R953" s="18"/>
      <c r="S953" s="18"/>
    </row>
    <row r="954" spans="1:19" x14ac:dyDescent="0.25">
      <c r="A954" s="9" t="s">
        <v>1872</v>
      </c>
      <c r="B954" s="17" t="s">
        <v>1875</v>
      </c>
      <c r="C954" s="18">
        <f t="shared" si="61"/>
        <v>65047.38</v>
      </c>
      <c r="D954" s="18"/>
      <c r="E954" s="18">
        <v>65047.38</v>
      </c>
      <c r="F954" s="18"/>
      <c r="G954" s="18"/>
      <c r="H954" s="18"/>
      <c r="I954" s="18"/>
      <c r="J954" s="18"/>
      <c r="K954" s="18"/>
      <c r="L954" s="10"/>
      <c r="M954" s="18"/>
      <c r="N954" s="10"/>
      <c r="O954" s="18"/>
      <c r="P954" s="18"/>
      <c r="Q954" s="18"/>
      <c r="R954" s="18"/>
      <c r="S954" s="18"/>
    </row>
    <row r="955" spans="1:19" x14ac:dyDescent="0.25">
      <c r="A955" s="9" t="s">
        <v>1874</v>
      </c>
      <c r="B955" s="17" t="s">
        <v>1877</v>
      </c>
      <c r="C955" s="18">
        <f t="shared" si="61"/>
        <v>161607.01999999999</v>
      </c>
      <c r="D955" s="18"/>
      <c r="E955" s="18">
        <v>161607.01999999999</v>
      </c>
      <c r="F955" s="18"/>
      <c r="G955" s="18"/>
      <c r="H955" s="18"/>
      <c r="I955" s="18"/>
      <c r="J955" s="18"/>
      <c r="K955" s="18"/>
      <c r="L955" s="10"/>
      <c r="M955" s="18"/>
      <c r="N955" s="10"/>
      <c r="O955" s="18"/>
      <c r="P955" s="18"/>
      <c r="Q955" s="18"/>
      <c r="R955" s="18"/>
      <c r="S955" s="18"/>
    </row>
    <row r="956" spans="1:19" x14ac:dyDescent="0.25">
      <c r="A956" s="9" t="s">
        <v>1876</v>
      </c>
      <c r="B956" s="17" t="s">
        <v>1879</v>
      </c>
      <c r="C956" s="18">
        <f t="shared" si="61"/>
        <v>500000</v>
      </c>
      <c r="D956" s="18"/>
      <c r="E956" s="18"/>
      <c r="F956" s="18"/>
      <c r="G956" s="18"/>
      <c r="H956" s="18"/>
      <c r="I956" s="18"/>
      <c r="J956" s="18"/>
      <c r="K956" s="18"/>
      <c r="L956" s="10"/>
      <c r="M956" s="18"/>
      <c r="N956" s="10"/>
      <c r="O956" s="18"/>
      <c r="P956" s="18">
        <v>500000</v>
      </c>
      <c r="Q956" s="18"/>
      <c r="R956" s="18"/>
      <c r="S956" s="18"/>
    </row>
    <row r="957" spans="1:19" x14ac:dyDescent="0.25">
      <c r="A957" s="9" t="s">
        <v>1878</v>
      </c>
      <c r="B957" s="17" t="s">
        <v>1881</v>
      </c>
      <c r="C957" s="18">
        <f t="shared" si="61"/>
        <v>107455.52</v>
      </c>
      <c r="D957" s="18"/>
      <c r="E957" s="18">
        <v>107455.52</v>
      </c>
      <c r="F957" s="18"/>
      <c r="G957" s="18"/>
      <c r="H957" s="18"/>
      <c r="I957" s="18"/>
      <c r="J957" s="18"/>
      <c r="K957" s="18"/>
      <c r="L957" s="10"/>
      <c r="M957" s="18"/>
      <c r="N957" s="10"/>
      <c r="O957" s="18"/>
      <c r="P957" s="18"/>
      <c r="Q957" s="18"/>
      <c r="R957" s="18"/>
      <c r="S957" s="18"/>
    </row>
    <row r="958" spans="1:19" x14ac:dyDescent="0.25">
      <c r="A958" s="9" t="s">
        <v>1880</v>
      </c>
      <c r="B958" s="17" t="s">
        <v>1883</v>
      </c>
      <c r="C958" s="18">
        <f t="shared" si="61"/>
        <v>271668.11</v>
      </c>
      <c r="D958" s="18"/>
      <c r="E958" s="18">
        <v>271668.11</v>
      </c>
      <c r="F958" s="18"/>
      <c r="G958" s="18"/>
      <c r="H958" s="18"/>
      <c r="I958" s="18"/>
      <c r="J958" s="18"/>
      <c r="K958" s="18"/>
      <c r="L958" s="10"/>
      <c r="M958" s="18"/>
      <c r="N958" s="10"/>
      <c r="O958" s="18"/>
      <c r="P958" s="18"/>
      <c r="Q958" s="18"/>
      <c r="R958" s="18"/>
      <c r="S958" s="18"/>
    </row>
    <row r="959" spans="1:19" x14ac:dyDescent="0.25">
      <c r="A959" s="9" t="s">
        <v>1882</v>
      </c>
      <c r="B959" s="17" t="s">
        <v>1885</v>
      </c>
      <c r="C959" s="18">
        <f t="shared" si="61"/>
        <v>332098.28000000003</v>
      </c>
      <c r="D959" s="18"/>
      <c r="E959" s="18">
        <v>332098.28000000003</v>
      </c>
      <c r="F959" s="18"/>
      <c r="G959" s="18"/>
      <c r="H959" s="18"/>
      <c r="I959" s="18"/>
      <c r="J959" s="18"/>
      <c r="K959" s="18"/>
      <c r="L959" s="10"/>
      <c r="M959" s="18"/>
      <c r="N959" s="10"/>
      <c r="O959" s="18"/>
      <c r="P959" s="18"/>
      <c r="Q959" s="18"/>
      <c r="R959" s="18"/>
      <c r="S959" s="18"/>
    </row>
    <row r="960" spans="1:19" x14ac:dyDescent="0.25">
      <c r="A960" s="9" t="s">
        <v>1884</v>
      </c>
      <c r="B960" s="17" t="s">
        <v>1887</v>
      </c>
      <c r="C960" s="18">
        <f t="shared" si="61"/>
        <v>250227.47</v>
      </c>
      <c r="D960" s="18"/>
      <c r="E960" s="18">
        <v>250227.47</v>
      </c>
      <c r="F960" s="18"/>
      <c r="G960" s="18"/>
      <c r="H960" s="18"/>
      <c r="I960" s="18"/>
      <c r="J960" s="18"/>
      <c r="K960" s="18"/>
      <c r="L960" s="10"/>
      <c r="M960" s="18"/>
      <c r="N960" s="10"/>
      <c r="O960" s="18"/>
      <c r="P960" s="18"/>
      <c r="Q960" s="18"/>
      <c r="R960" s="18"/>
      <c r="S960" s="18"/>
    </row>
    <row r="961" spans="1:19" x14ac:dyDescent="0.25">
      <c r="A961" s="9" t="s">
        <v>1886</v>
      </c>
      <c r="B961" s="17" t="s">
        <v>1889</v>
      </c>
      <c r="C961" s="18">
        <f t="shared" si="61"/>
        <v>144572.41</v>
      </c>
      <c r="D961" s="18"/>
      <c r="E961" s="18">
        <v>144572.41</v>
      </c>
      <c r="F961" s="18"/>
      <c r="G961" s="18"/>
      <c r="H961" s="18"/>
      <c r="I961" s="18"/>
      <c r="J961" s="18"/>
      <c r="K961" s="18"/>
      <c r="L961" s="10"/>
      <c r="M961" s="18"/>
      <c r="N961" s="10"/>
      <c r="O961" s="18"/>
      <c r="P961" s="18"/>
      <c r="Q961" s="18"/>
      <c r="R961" s="18"/>
      <c r="S961" s="18"/>
    </row>
    <row r="962" spans="1:19" x14ac:dyDescent="0.25">
      <c r="A962" s="9" t="s">
        <v>1888</v>
      </c>
      <c r="B962" s="17" t="s">
        <v>1891</v>
      </c>
      <c r="C962" s="18">
        <f t="shared" si="61"/>
        <v>141712.07</v>
      </c>
      <c r="D962" s="18"/>
      <c r="E962" s="18">
        <v>141712.07</v>
      </c>
      <c r="F962" s="18"/>
      <c r="G962" s="18"/>
      <c r="H962" s="18"/>
      <c r="I962" s="18"/>
      <c r="J962" s="18"/>
      <c r="K962" s="18"/>
      <c r="L962" s="10"/>
      <c r="M962" s="18"/>
      <c r="N962" s="10"/>
      <c r="O962" s="18"/>
      <c r="P962" s="18"/>
      <c r="Q962" s="18"/>
      <c r="R962" s="18"/>
      <c r="S962" s="18"/>
    </row>
    <row r="963" spans="1:19" x14ac:dyDescent="0.25">
      <c r="A963" s="9" t="s">
        <v>1890</v>
      </c>
      <c r="B963" s="17" t="s">
        <v>1893</v>
      </c>
      <c r="C963" s="18">
        <f t="shared" si="61"/>
        <v>203736.8</v>
      </c>
      <c r="D963" s="18"/>
      <c r="E963" s="18">
        <v>203736.8</v>
      </c>
      <c r="F963" s="18"/>
      <c r="G963" s="18"/>
      <c r="H963" s="18"/>
      <c r="I963" s="18"/>
      <c r="J963" s="18"/>
      <c r="K963" s="18"/>
      <c r="L963" s="10"/>
      <c r="M963" s="18"/>
      <c r="N963" s="10"/>
      <c r="O963" s="18"/>
      <c r="P963" s="18"/>
      <c r="Q963" s="18"/>
      <c r="R963" s="18"/>
      <c r="S963" s="18"/>
    </row>
    <row r="964" spans="1:19" x14ac:dyDescent="0.25">
      <c r="A964" s="9" t="s">
        <v>1892</v>
      </c>
      <c r="B964" s="17" t="s">
        <v>1895</v>
      </c>
      <c r="C964" s="18">
        <f t="shared" si="61"/>
        <v>222655.4</v>
      </c>
      <c r="D964" s="18"/>
      <c r="E964" s="18">
        <v>222655.4</v>
      </c>
      <c r="F964" s="18"/>
      <c r="G964" s="18"/>
      <c r="H964" s="18"/>
      <c r="I964" s="18"/>
      <c r="J964" s="18"/>
      <c r="K964" s="18"/>
      <c r="L964" s="10"/>
      <c r="M964" s="18"/>
      <c r="N964" s="10"/>
      <c r="O964" s="18"/>
      <c r="P964" s="18"/>
      <c r="Q964" s="18"/>
      <c r="R964" s="18"/>
      <c r="S964" s="18"/>
    </row>
    <row r="965" spans="1:19" x14ac:dyDescent="0.25">
      <c r="A965" s="9" t="s">
        <v>1894</v>
      </c>
      <c r="B965" s="17" t="s">
        <v>1896</v>
      </c>
      <c r="C965" s="18">
        <f t="shared" si="61"/>
        <v>283650.12</v>
      </c>
      <c r="D965" s="18"/>
      <c r="E965" s="18">
        <v>283650.12</v>
      </c>
      <c r="F965" s="18"/>
      <c r="G965" s="18"/>
      <c r="H965" s="18"/>
      <c r="I965" s="18"/>
      <c r="J965" s="18"/>
      <c r="K965" s="18"/>
      <c r="L965" s="10"/>
      <c r="M965" s="18"/>
      <c r="N965" s="10"/>
      <c r="O965" s="18"/>
      <c r="P965" s="18"/>
      <c r="Q965" s="18"/>
      <c r="R965" s="18"/>
      <c r="S965" s="18"/>
    </row>
    <row r="966" spans="1:19" ht="15" customHeight="1" x14ac:dyDescent="0.25">
      <c r="A966" s="33"/>
      <c r="B966" s="33" t="s">
        <v>2076</v>
      </c>
      <c r="C966" s="18">
        <f>ROUND(D966+E966+F966+G966+H966+I966+J966+K966+M966+O966+P966+Q966+R966+S966,2)</f>
        <v>10297264.07</v>
      </c>
      <c r="D966" s="18">
        <f t="shared" ref="D966:S966" si="62">SUM(D933:D965)</f>
        <v>52273.59</v>
      </c>
      <c r="E966" s="18">
        <f t="shared" si="62"/>
        <v>7112238.6100000003</v>
      </c>
      <c r="F966" s="18">
        <f t="shared" si="62"/>
        <v>0</v>
      </c>
      <c r="G966" s="18">
        <f t="shared" si="62"/>
        <v>0</v>
      </c>
      <c r="H966" s="18">
        <f t="shared" si="62"/>
        <v>634992.97</v>
      </c>
      <c r="I966" s="18">
        <f t="shared" si="62"/>
        <v>228552.24</v>
      </c>
      <c r="J966" s="18">
        <f t="shared" si="62"/>
        <v>1769206.66</v>
      </c>
      <c r="K966" s="18">
        <f t="shared" si="62"/>
        <v>0</v>
      </c>
      <c r="L966" s="10">
        <f t="shared" si="62"/>
        <v>0</v>
      </c>
      <c r="M966" s="18">
        <f t="shared" si="62"/>
        <v>0</v>
      </c>
      <c r="N966" s="18" t="s">
        <v>42</v>
      </c>
      <c r="O966" s="18">
        <f t="shared" si="62"/>
        <v>0</v>
      </c>
      <c r="P966" s="18">
        <f t="shared" si="62"/>
        <v>500000</v>
      </c>
      <c r="Q966" s="18">
        <f t="shared" si="62"/>
        <v>0</v>
      </c>
      <c r="R966" s="18">
        <f t="shared" si="62"/>
        <v>0</v>
      </c>
      <c r="S966" s="18">
        <f t="shared" si="62"/>
        <v>0</v>
      </c>
    </row>
    <row r="967" spans="1:19" ht="15" customHeight="1" x14ac:dyDescent="0.25">
      <c r="A967" s="81" t="s">
        <v>1897</v>
      </c>
      <c r="B967" s="82"/>
      <c r="C967" s="82"/>
      <c r="D967" s="82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</row>
    <row r="968" spans="1:19" x14ac:dyDescent="0.25">
      <c r="A968" s="12" t="str">
        <f>A1505</f>
        <v>498</v>
      </c>
      <c r="B968" s="16" t="s">
        <v>2074</v>
      </c>
      <c r="C968" s="13">
        <f>ROUNDUP(C976+C1009+C1022+C1052+C1066+C1128+C1138+C1197+C1202+C1242+C1254+C1271+C1282+C1299+C1312+C1387+C1450+C1469+C1487+C1506,2)</f>
        <v>6915222136.4399996</v>
      </c>
      <c r="D968" s="13">
        <f t="shared" ref="D968:S968" si="63">ROUNDUP(D976+D1009+D1022+D1052+D1066+D1128+D1138+D1197+D1202+D1242+D1254+D1271+D1282+D1299+D1312+D1387+D1450+D1469+D1487+D1506,2)</f>
        <v>35228948.189999998</v>
      </c>
      <c r="E968" s="13">
        <f t="shared" si="63"/>
        <v>4660950.1500000004</v>
      </c>
      <c r="F968" s="13">
        <f t="shared" si="63"/>
        <v>417349810.25999999</v>
      </c>
      <c r="G968" s="13">
        <f t="shared" si="63"/>
        <v>546155201.15999997</v>
      </c>
      <c r="H968" s="13">
        <f t="shared" si="63"/>
        <v>182516219.74000001</v>
      </c>
      <c r="I968" s="13">
        <f t="shared" si="63"/>
        <v>83213375.420000002</v>
      </c>
      <c r="J968" s="13">
        <f t="shared" si="63"/>
        <v>139639284.28999999</v>
      </c>
      <c r="K968" s="13">
        <f t="shared" si="63"/>
        <v>0</v>
      </c>
      <c r="L968" s="14">
        <f t="shared" si="63"/>
        <v>79</v>
      </c>
      <c r="M968" s="13">
        <f t="shared" si="63"/>
        <v>324231489.16000003</v>
      </c>
      <c r="N968" s="13" t="s">
        <v>42</v>
      </c>
      <c r="O968" s="13">
        <f t="shared" si="63"/>
        <v>2290739809.29</v>
      </c>
      <c r="P968" s="13">
        <f t="shared" si="63"/>
        <v>259472363.68000001</v>
      </c>
      <c r="Q968" s="13">
        <f t="shared" si="63"/>
        <v>1775476453.28</v>
      </c>
      <c r="R968" s="13">
        <f t="shared" si="63"/>
        <v>854760743.50999999</v>
      </c>
      <c r="S968" s="13">
        <f t="shared" si="63"/>
        <v>1777488.31</v>
      </c>
    </row>
    <row r="969" spans="1:19" ht="15" customHeight="1" x14ac:dyDescent="0.25">
      <c r="A969" s="34"/>
      <c r="B969" s="34" t="s">
        <v>44</v>
      </c>
      <c r="C969" s="47"/>
      <c r="D969" s="13"/>
      <c r="E969" s="13"/>
      <c r="F969" s="13"/>
      <c r="G969" s="13"/>
      <c r="H969" s="13"/>
      <c r="I969" s="13"/>
      <c r="J969" s="13"/>
      <c r="K969" s="13"/>
      <c r="L969" s="14"/>
      <c r="M969" s="13"/>
      <c r="N969" s="14"/>
      <c r="O969" s="13"/>
      <c r="P969" s="13"/>
      <c r="Q969" s="13"/>
      <c r="R969" s="13"/>
      <c r="S969" s="13"/>
    </row>
    <row r="970" spans="1:19" x14ac:dyDescent="0.25">
      <c r="A970" s="48" t="s">
        <v>22</v>
      </c>
      <c r="B970" s="17" t="s">
        <v>45</v>
      </c>
      <c r="C970" s="18">
        <f>ROUNDUP(SUM(D970+E970+F970+G970+H970+I970+J970+K970+M970+O970+P970+Q970+R970+S970),2)</f>
        <v>3334091.56</v>
      </c>
      <c r="D970" s="18">
        <v>14903.16</v>
      </c>
      <c r="E970" s="18"/>
      <c r="F970" s="18"/>
      <c r="G970" s="18"/>
      <c r="H970" s="18">
        <v>1522569.5499999998</v>
      </c>
      <c r="I970" s="18">
        <v>553666.32000000007</v>
      </c>
      <c r="J970" s="4">
        <v>1242952.53</v>
      </c>
      <c r="K970" s="18"/>
      <c r="L970" s="10"/>
      <c r="M970" s="18"/>
      <c r="N970" s="10"/>
      <c r="O970" s="18"/>
      <c r="P970" s="18"/>
      <c r="Q970" s="18"/>
      <c r="R970" s="18"/>
      <c r="S970" s="18"/>
    </row>
    <row r="971" spans="1:19" x14ac:dyDescent="0.25">
      <c r="A971" s="9">
        <f>1+A970</f>
        <v>2</v>
      </c>
      <c r="B971" s="17" t="s">
        <v>48</v>
      </c>
      <c r="C971" s="18">
        <f>ROUNDUP(SUM(D971+E971+F971+G971+H971+I971+J971+K971+M971+O971+P971+Q971+R971+S971),2)</f>
        <v>9355432.25</v>
      </c>
      <c r="D971" s="18">
        <v>41818.120000000003</v>
      </c>
      <c r="E971" s="18"/>
      <c r="F971" s="18">
        <v>2837721.73</v>
      </c>
      <c r="G971" s="18"/>
      <c r="H971" s="18">
        <v>3277467.7</v>
      </c>
      <c r="I971" s="18">
        <v>1118154.1200000001</v>
      </c>
      <c r="J971" s="18">
        <v>2080270.58</v>
      </c>
      <c r="K971" s="18"/>
      <c r="L971" s="10"/>
      <c r="M971" s="18"/>
      <c r="N971" s="10"/>
      <c r="O971" s="18"/>
      <c r="P971" s="18"/>
      <c r="Q971" s="18"/>
      <c r="R971" s="18"/>
      <c r="S971" s="18"/>
    </row>
    <row r="972" spans="1:19" x14ac:dyDescent="0.25">
      <c r="A972" s="9">
        <f>1+A971</f>
        <v>3</v>
      </c>
      <c r="B972" s="17" t="s">
        <v>56</v>
      </c>
      <c r="C972" s="18">
        <f t="shared" ref="C972:C975" si="64">ROUNDUP(SUM(D972+E972+F972+G972+H972+I972+J972+K972+M972+O972+P972+Q972+R972+S972),2)</f>
        <v>3177512.75</v>
      </c>
      <c r="D972" s="18">
        <v>14203.26</v>
      </c>
      <c r="E972" s="18"/>
      <c r="F972" s="18"/>
      <c r="G972" s="18"/>
      <c r="H972" s="18"/>
      <c r="I972" s="18"/>
      <c r="J972" s="18"/>
      <c r="K972" s="18"/>
      <c r="L972" s="10"/>
      <c r="M972" s="18"/>
      <c r="N972" s="10"/>
      <c r="O972" s="18"/>
      <c r="P972" s="18">
        <v>3163309.49</v>
      </c>
      <c r="Q972" s="18"/>
      <c r="R972" s="18"/>
      <c r="S972" s="18"/>
    </row>
    <row r="973" spans="1:19" x14ac:dyDescent="0.25">
      <c r="A973" s="9">
        <f>1+A972</f>
        <v>4</v>
      </c>
      <c r="B973" s="17" t="s">
        <v>57</v>
      </c>
      <c r="C973" s="18">
        <f t="shared" si="64"/>
        <v>17756497.390000001</v>
      </c>
      <c r="D973" s="18">
        <v>79370.3</v>
      </c>
      <c r="E973" s="18"/>
      <c r="F973" s="18"/>
      <c r="G973" s="18"/>
      <c r="H973" s="18"/>
      <c r="I973" s="18"/>
      <c r="J973" s="18"/>
      <c r="K973" s="18"/>
      <c r="L973" s="10"/>
      <c r="M973" s="18"/>
      <c r="N973" s="10"/>
      <c r="O973" s="18"/>
      <c r="P973" s="18"/>
      <c r="Q973" s="18"/>
      <c r="R973" s="18">
        <v>17677127.09</v>
      </c>
      <c r="S973" s="18"/>
    </row>
    <row r="974" spans="1:19" x14ac:dyDescent="0.25">
      <c r="A974" s="9">
        <f>1+A973</f>
        <v>5</v>
      </c>
      <c r="B974" s="17" t="s">
        <v>59</v>
      </c>
      <c r="C974" s="18">
        <f t="shared" si="64"/>
        <v>19999508.390000001</v>
      </c>
      <c r="D974" s="18">
        <v>129552.11</v>
      </c>
      <c r="E974" s="18"/>
      <c r="F974" s="18"/>
      <c r="G974" s="18"/>
      <c r="H974" s="18"/>
      <c r="I974" s="18"/>
      <c r="J974" s="18"/>
      <c r="K974" s="18"/>
      <c r="L974" s="10"/>
      <c r="M974" s="18"/>
      <c r="N974" s="10" t="s">
        <v>1898</v>
      </c>
      <c r="O974" s="49">
        <v>19869956.280000001</v>
      </c>
      <c r="P974" s="18"/>
      <c r="Q974" s="18"/>
      <c r="R974" s="18"/>
      <c r="S974" s="18"/>
    </row>
    <row r="975" spans="1:19" x14ac:dyDescent="0.25">
      <c r="A975" s="9">
        <f>1+A974</f>
        <v>6</v>
      </c>
      <c r="B975" s="17" t="s">
        <v>60</v>
      </c>
      <c r="C975" s="18">
        <f t="shared" si="64"/>
        <v>3335271.44</v>
      </c>
      <c r="D975" s="18">
        <v>14908.43</v>
      </c>
      <c r="E975" s="18"/>
      <c r="F975" s="18"/>
      <c r="G975" s="18"/>
      <c r="H975" s="18">
        <v>1694114.99</v>
      </c>
      <c r="I975" s="18">
        <v>508394.6</v>
      </c>
      <c r="J975" s="18">
        <v>1117853.42</v>
      </c>
      <c r="K975" s="18"/>
      <c r="L975" s="10"/>
      <c r="M975" s="18"/>
      <c r="N975" s="10"/>
      <c r="O975" s="18"/>
      <c r="P975" s="18"/>
      <c r="Q975" s="18"/>
      <c r="R975" s="18"/>
      <c r="S975" s="18"/>
    </row>
    <row r="976" spans="1:19" ht="29.25" customHeight="1" x14ac:dyDescent="0.25">
      <c r="A976" s="9"/>
      <c r="B976" s="33" t="s">
        <v>2077</v>
      </c>
      <c r="C976" s="18">
        <f>ROUND(D976+E976+F976+G976+H976+I976+J976+K976+M976+O976+P976+Q976+R976+S976,2)</f>
        <v>56958313.780000001</v>
      </c>
      <c r="D976" s="18">
        <f t="shared" ref="D976:S976" si="65">SUM(D970:D975)</f>
        <v>294755.38</v>
      </c>
      <c r="E976" s="18">
        <f t="shared" si="65"/>
        <v>0</v>
      </c>
      <c r="F976" s="18">
        <f t="shared" si="65"/>
        <v>2837721.73</v>
      </c>
      <c r="G976" s="18">
        <f t="shared" si="65"/>
        <v>0</v>
      </c>
      <c r="H976" s="18">
        <f t="shared" si="65"/>
        <v>6494152.2400000002</v>
      </c>
      <c r="I976" s="18">
        <f t="shared" si="65"/>
        <v>2180215.04</v>
      </c>
      <c r="J976" s="18">
        <f t="shared" si="65"/>
        <v>4441076.53</v>
      </c>
      <c r="K976" s="18">
        <f t="shared" si="65"/>
        <v>0</v>
      </c>
      <c r="L976" s="10">
        <f t="shared" si="65"/>
        <v>0</v>
      </c>
      <c r="M976" s="18">
        <f t="shared" si="65"/>
        <v>0</v>
      </c>
      <c r="N976" s="18" t="s">
        <v>42</v>
      </c>
      <c r="O976" s="18">
        <f t="shared" si="65"/>
        <v>19869956.280000001</v>
      </c>
      <c r="P976" s="18">
        <f t="shared" si="65"/>
        <v>3163309.49</v>
      </c>
      <c r="Q976" s="18">
        <f t="shared" si="65"/>
        <v>0</v>
      </c>
      <c r="R976" s="18">
        <f t="shared" si="65"/>
        <v>17677127.09</v>
      </c>
      <c r="S976" s="18">
        <f t="shared" si="65"/>
        <v>0</v>
      </c>
    </row>
    <row r="977" spans="1:19" ht="15" customHeight="1" x14ac:dyDescent="0.25">
      <c r="A977" s="9"/>
      <c r="B977" s="46" t="s">
        <v>66</v>
      </c>
      <c r="C977" s="19"/>
      <c r="D977" s="13"/>
      <c r="E977" s="13"/>
      <c r="F977" s="13"/>
      <c r="G977" s="13"/>
      <c r="H977" s="13"/>
      <c r="I977" s="13"/>
      <c r="J977" s="13"/>
      <c r="K977" s="13"/>
      <c r="L977" s="14"/>
      <c r="M977" s="13"/>
      <c r="N977" s="14"/>
      <c r="O977" s="13"/>
      <c r="P977" s="13"/>
      <c r="Q977" s="13"/>
      <c r="R977" s="13"/>
      <c r="S977" s="13"/>
    </row>
    <row r="978" spans="1:19" x14ac:dyDescent="0.25">
      <c r="A978" s="9" t="s">
        <v>28</v>
      </c>
      <c r="B978" s="17" t="s">
        <v>67</v>
      </c>
      <c r="C978" s="18">
        <f t="shared" ref="C978:C1008" si="66">ROUNDUP(SUM(D978+E978+F978+G978+H978+I978+J978+K978+M978+O978+P978+Q978+R978+S978),2)</f>
        <v>7196579.1600000001</v>
      </c>
      <c r="D978" s="18">
        <v>40574.550000000003</v>
      </c>
      <c r="E978" s="18"/>
      <c r="F978" s="18"/>
      <c r="G978" s="18"/>
      <c r="H978" s="18"/>
      <c r="I978" s="18"/>
      <c r="J978" s="18"/>
      <c r="K978" s="18"/>
      <c r="L978" s="10"/>
      <c r="M978" s="18"/>
      <c r="N978" s="10"/>
      <c r="O978" s="18"/>
      <c r="P978" s="18"/>
      <c r="Q978" s="18">
        <v>7156004.6100000003</v>
      </c>
      <c r="R978" s="18"/>
      <c r="S978" s="18"/>
    </row>
    <row r="979" spans="1:19" x14ac:dyDescent="0.25">
      <c r="A979" s="9" t="s">
        <v>29</v>
      </c>
      <c r="B979" s="17" t="s">
        <v>73</v>
      </c>
      <c r="C979" s="18">
        <f t="shared" si="66"/>
        <v>3493104.46</v>
      </c>
      <c r="D979" s="18">
        <v>19694.240000000002</v>
      </c>
      <c r="E979" s="18"/>
      <c r="F979" s="18"/>
      <c r="G979" s="18"/>
      <c r="H979" s="18"/>
      <c r="I979" s="18"/>
      <c r="J979" s="18"/>
      <c r="K979" s="18"/>
      <c r="L979" s="10"/>
      <c r="M979" s="18"/>
      <c r="N979" s="10"/>
      <c r="O979" s="18"/>
      <c r="P979" s="18"/>
      <c r="Q979" s="18">
        <v>3473410.22</v>
      </c>
      <c r="R979" s="18"/>
      <c r="S979" s="18"/>
    </row>
    <row r="980" spans="1:19" x14ac:dyDescent="0.25">
      <c r="A980" s="9" t="s">
        <v>30</v>
      </c>
      <c r="B980" s="17" t="s">
        <v>77</v>
      </c>
      <c r="C980" s="18">
        <f t="shared" si="66"/>
        <v>4922321.34</v>
      </c>
      <c r="D980" s="18">
        <v>27752.2</v>
      </c>
      <c r="E980" s="18"/>
      <c r="F980" s="18">
        <v>1005251.42</v>
      </c>
      <c r="G980" s="18"/>
      <c r="H980" s="18"/>
      <c r="I980" s="18"/>
      <c r="J980" s="18">
        <v>533268.77</v>
      </c>
      <c r="K980" s="18"/>
      <c r="L980" s="10"/>
      <c r="M980" s="18"/>
      <c r="N980" s="10"/>
      <c r="O980" s="18"/>
      <c r="P980" s="18"/>
      <c r="Q980" s="18">
        <v>3356048.95</v>
      </c>
      <c r="R980" s="18"/>
      <c r="S980" s="18"/>
    </row>
    <row r="981" spans="1:19" x14ac:dyDescent="0.25">
      <c r="A981" s="9" t="s">
        <v>31</v>
      </c>
      <c r="B981" s="17" t="s">
        <v>79</v>
      </c>
      <c r="C981" s="18">
        <f t="shared" si="66"/>
        <v>3479373</v>
      </c>
      <c r="D981" s="18">
        <v>19616.82</v>
      </c>
      <c r="E981" s="18"/>
      <c r="F981" s="18"/>
      <c r="G981" s="18"/>
      <c r="H981" s="18"/>
      <c r="I981" s="18"/>
      <c r="J981" s="18"/>
      <c r="K981" s="18"/>
      <c r="L981" s="10"/>
      <c r="M981" s="18"/>
      <c r="N981" s="10"/>
      <c r="O981" s="18"/>
      <c r="P981" s="18"/>
      <c r="Q981" s="18">
        <v>3459756.18</v>
      </c>
      <c r="R981" s="18"/>
      <c r="S981" s="18"/>
    </row>
    <row r="982" spans="1:19" x14ac:dyDescent="0.25">
      <c r="A982" s="9" t="s">
        <v>32</v>
      </c>
      <c r="B982" s="17" t="s">
        <v>81</v>
      </c>
      <c r="C982" s="18">
        <f t="shared" si="66"/>
        <v>4074352.48</v>
      </c>
      <c r="D982" s="18">
        <v>22971.33</v>
      </c>
      <c r="E982" s="18"/>
      <c r="F982" s="18"/>
      <c r="G982" s="18"/>
      <c r="H982" s="18"/>
      <c r="I982" s="18"/>
      <c r="J982" s="18">
        <v>541767.43000000005</v>
      </c>
      <c r="K982" s="18"/>
      <c r="L982" s="10"/>
      <c r="M982" s="18"/>
      <c r="N982" s="10"/>
      <c r="O982" s="18"/>
      <c r="P982" s="18"/>
      <c r="Q982" s="18">
        <v>3509613.72</v>
      </c>
      <c r="R982" s="18"/>
      <c r="S982" s="18"/>
    </row>
    <row r="983" spans="1:19" x14ac:dyDescent="0.25">
      <c r="A983" s="9" t="s">
        <v>33</v>
      </c>
      <c r="B983" s="17" t="s">
        <v>1899</v>
      </c>
      <c r="C983" s="18">
        <f t="shared" si="66"/>
        <v>6189300.1600000001</v>
      </c>
      <c r="D983" s="18">
        <v>116376.94</v>
      </c>
      <c r="E983" s="18">
        <v>88169.45</v>
      </c>
      <c r="F983" s="18"/>
      <c r="G983" s="18"/>
      <c r="H983" s="18"/>
      <c r="I983" s="18"/>
      <c r="J983" s="18"/>
      <c r="K983" s="18"/>
      <c r="L983" s="10">
        <v>2</v>
      </c>
      <c r="M983" s="18">
        <v>5984753.7699999996</v>
      </c>
      <c r="N983" s="10"/>
      <c r="O983" s="18"/>
      <c r="P983" s="18"/>
      <c r="Q983" s="18"/>
      <c r="R983" s="18"/>
      <c r="S983" s="18"/>
    </row>
    <row r="984" spans="1:19" x14ac:dyDescent="0.25">
      <c r="A984" s="9" t="s">
        <v>34</v>
      </c>
      <c r="B984" s="17" t="s">
        <v>99</v>
      </c>
      <c r="C984" s="18">
        <f t="shared" si="66"/>
        <v>3729487.77</v>
      </c>
      <c r="D984" s="18">
        <v>21026.97</v>
      </c>
      <c r="E984" s="18"/>
      <c r="F984" s="18"/>
      <c r="G984" s="18"/>
      <c r="H984" s="18"/>
      <c r="I984" s="18"/>
      <c r="J984" s="18"/>
      <c r="K984" s="18"/>
      <c r="L984" s="10"/>
      <c r="M984" s="18"/>
      <c r="N984" s="10"/>
      <c r="O984" s="18"/>
      <c r="P984" s="18">
        <v>3708460.8</v>
      </c>
      <c r="Q984" s="18"/>
      <c r="R984" s="18"/>
      <c r="S984" s="18"/>
    </row>
    <row r="985" spans="1:19" x14ac:dyDescent="0.25">
      <c r="A985" s="9" t="s">
        <v>35</v>
      </c>
      <c r="B985" s="17" t="s">
        <v>117</v>
      </c>
      <c r="C985" s="18">
        <f t="shared" si="66"/>
        <v>5605915.9299999997</v>
      </c>
      <c r="D985" s="18">
        <v>31606.34</v>
      </c>
      <c r="E985" s="18"/>
      <c r="F985" s="18">
        <v>1767248.06</v>
      </c>
      <c r="G985" s="18"/>
      <c r="H985" s="18">
        <v>1646923.57</v>
      </c>
      <c r="I985" s="18">
        <v>675490.64</v>
      </c>
      <c r="J985" s="18"/>
      <c r="K985" s="18"/>
      <c r="L985" s="10"/>
      <c r="M985" s="18"/>
      <c r="N985" s="10"/>
      <c r="O985" s="18"/>
      <c r="P985" s="18">
        <v>1484647.32</v>
      </c>
      <c r="Q985" s="18"/>
      <c r="R985" s="18"/>
      <c r="S985" s="18"/>
    </row>
    <row r="986" spans="1:19" x14ac:dyDescent="0.25">
      <c r="A986" s="9" t="s">
        <v>36</v>
      </c>
      <c r="B986" s="17" t="s">
        <v>121</v>
      </c>
      <c r="C986" s="18">
        <f t="shared" si="66"/>
        <v>3720086.76</v>
      </c>
      <c r="D986" s="18">
        <v>20973.97</v>
      </c>
      <c r="E986" s="18"/>
      <c r="F986" s="18"/>
      <c r="G986" s="18"/>
      <c r="H986" s="18"/>
      <c r="I986" s="18"/>
      <c r="J986" s="18"/>
      <c r="K986" s="18"/>
      <c r="L986" s="10"/>
      <c r="M986" s="18"/>
      <c r="N986" s="10"/>
      <c r="O986" s="18"/>
      <c r="P986" s="18">
        <v>3699112.79</v>
      </c>
      <c r="Q986" s="18"/>
      <c r="R986" s="18"/>
      <c r="S986" s="18"/>
    </row>
    <row r="987" spans="1:19" x14ac:dyDescent="0.25">
      <c r="A987" s="9" t="s">
        <v>37</v>
      </c>
      <c r="B987" s="17" t="s">
        <v>87</v>
      </c>
      <c r="C987" s="18">
        <f t="shared" si="66"/>
        <v>5819430.21</v>
      </c>
      <c r="D987" s="18">
        <v>32810.14</v>
      </c>
      <c r="E987" s="18"/>
      <c r="F987" s="18">
        <v>1768376.84</v>
      </c>
      <c r="G987" s="18"/>
      <c r="H987" s="18">
        <v>1639213.56</v>
      </c>
      <c r="I987" s="18">
        <v>672459.62</v>
      </c>
      <c r="J987" s="18"/>
      <c r="K987" s="18"/>
      <c r="L987" s="10"/>
      <c r="M987" s="18"/>
      <c r="N987" s="10"/>
      <c r="O987" s="18"/>
      <c r="P987" s="18">
        <v>1706570.05</v>
      </c>
      <c r="Q987" s="18"/>
      <c r="R987" s="18"/>
      <c r="S987" s="18"/>
    </row>
    <row r="988" spans="1:19" x14ac:dyDescent="0.25">
      <c r="A988" s="9" t="s">
        <v>38</v>
      </c>
      <c r="B988" s="17" t="s">
        <v>93</v>
      </c>
      <c r="C988" s="18">
        <f t="shared" si="66"/>
        <v>8480875.2100000009</v>
      </c>
      <c r="D988" s="18">
        <v>47815.45</v>
      </c>
      <c r="E988" s="18"/>
      <c r="F988" s="18"/>
      <c r="G988" s="18"/>
      <c r="H988" s="18"/>
      <c r="I988" s="18"/>
      <c r="J988" s="18"/>
      <c r="K988" s="18"/>
      <c r="L988" s="10"/>
      <c r="M988" s="18"/>
      <c r="N988" s="10"/>
      <c r="O988" s="18"/>
      <c r="P988" s="18"/>
      <c r="Q988" s="18">
        <v>8433059.7599999998</v>
      </c>
      <c r="R988" s="18"/>
      <c r="S988" s="18"/>
    </row>
    <row r="989" spans="1:19" x14ac:dyDescent="0.25">
      <c r="A989" s="9" t="s">
        <v>39</v>
      </c>
      <c r="B989" s="17" t="s">
        <v>97</v>
      </c>
      <c r="C989" s="18">
        <f t="shared" si="66"/>
        <v>6570897.4199999999</v>
      </c>
      <c r="D989" s="18">
        <v>37046.93</v>
      </c>
      <c r="E989" s="18"/>
      <c r="F989" s="18"/>
      <c r="G989" s="18"/>
      <c r="H989" s="18"/>
      <c r="I989" s="18"/>
      <c r="J989" s="18"/>
      <c r="K989" s="18"/>
      <c r="L989" s="10"/>
      <c r="M989" s="18"/>
      <c r="N989" s="10"/>
      <c r="O989" s="18"/>
      <c r="P989" s="18"/>
      <c r="Q989" s="18">
        <v>6533850.4900000002</v>
      </c>
      <c r="R989" s="18"/>
      <c r="S989" s="18"/>
    </row>
    <row r="990" spans="1:19" x14ac:dyDescent="0.25">
      <c r="A990" s="9" t="s">
        <v>40</v>
      </c>
      <c r="B990" s="17" t="s">
        <v>101</v>
      </c>
      <c r="C990" s="18">
        <f t="shared" si="66"/>
        <v>12572526.310000001</v>
      </c>
      <c r="D990" s="18">
        <v>70884.31</v>
      </c>
      <c r="E990" s="18"/>
      <c r="F990" s="18"/>
      <c r="G990" s="18"/>
      <c r="H990" s="18"/>
      <c r="I990" s="18"/>
      <c r="J990" s="18"/>
      <c r="K990" s="18"/>
      <c r="L990" s="10"/>
      <c r="M990" s="18"/>
      <c r="N990" s="10"/>
      <c r="O990" s="18"/>
      <c r="P990" s="18"/>
      <c r="Q990" s="18">
        <v>12501642</v>
      </c>
      <c r="R990" s="18"/>
      <c r="S990" s="18"/>
    </row>
    <row r="991" spans="1:19" x14ac:dyDescent="0.25">
      <c r="A991" s="9" t="s">
        <v>68</v>
      </c>
      <c r="B991" s="17" t="s">
        <v>103</v>
      </c>
      <c r="C991" s="18">
        <f t="shared" si="66"/>
        <v>16693139.02</v>
      </c>
      <c r="D991" s="18">
        <v>94116.46</v>
      </c>
      <c r="E991" s="18"/>
      <c r="F991" s="18">
        <v>4092694.08</v>
      </c>
      <c r="G991" s="18"/>
      <c r="H991" s="18"/>
      <c r="I991" s="18"/>
      <c r="J991" s="18"/>
      <c r="K991" s="18"/>
      <c r="L991" s="10"/>
      <c r="M991" s="18"/>
      <c r="N991" s="10"/>
      <c r="O991" s="18"/>
      <c r="P991" s="18"/>
      <c r="Q991" s="18">
        <v>12506328.48</v>
      </c>
      <c r="R991" s="18"/>
      <c r="S991" s="18"/>
    </row>
    <row r="992" spans="1:19" x14ac:dyDescent="0.25">
      <c r="A992" s="9" t="s">
        <v>70</v>
      </c>
      <c r="B992" s="17" t="s">
        <v>105</v>
      </c>
      <c r="C992" s="18">
        <f t="shared" si="66"/>
        <v>2327373.87</v>
      </c>
      <c r="D992" s="18">
        <v>13121.81</v>
      </c>
      <c r="E992" s="18"/>
      <c r="F992" s="18"/>
      <c r="G992" s="18"/>
      <c r="H992" s="18">
        <v>1646623.14</v>
      </c>
      <c r="I992" s="18">
        <v>667628.92000000004</v>
      </c>
      <c r="J992" s="18"/>
      <c r="K992" s="18"/>
      <c r="L992" s="10"/>
      <c r="M992" s="18"/>
      <c r="N992" s="10"/>
      <c r="O992" s="18"/>
      <c r="P992" s="18"/>
      <c r="Q992" s="18"/>
      <c r="R992" s="18"/>
      <c r="S992" s="18"/>
    </row>
    <row r="993" spans="1:19" x14ac:dyDescent="0.25">
      <c r="A993" s="9" t="s">
        <v>72</v>
      </c>
      <c r="B993" s="17" t="s">
        <v>107</v>
      </c>
      <c r="C993" s="18">
        <f t="shared" si="66"/>
        <v>6763471.6299999999</v>
      </c>
      <c r="D993" s="18">
        <v>38132.68</v>
      </c>
      <c r="E993" s="18"/>
      <c r="F993" s="18"/>
      <c r="G993" s="18"/>
      <c r="H993" s="18"/>
      <c r="I993" s="18"/>
      <c r="J993" s="18">
        <v>928696.07</v>
      </c>
      <c r="K993" s="18"/>
      <c r="L993" s="10"/>
      <c r="M993" s="18"/>
      <c r="N993" s="10"/>
      <c r="O993" s="18"/>
      <c r="P993" s="18"/>
      <c r="Q993" s="18">
        <v>5796642.8799999999</v>
      </c>
      <c r="R993" s="18"/>
      <c r="S993" s="18"/>
    </row>
    <row r="994" spans="1:19" x14ac:dyDescent="0.25">
      <c r="A994" s="9" t="s">
        <v>74</v>
      </c>
      <c r="B994" s="17" t="s">
        <v>109</v>
      </c>
      <c r="C994" s="18">
        <f t="shared" si="66"/>
        <v>12540031.699999999</v>
      </c>
      <c r="D994" s="18">
        <v>70701.100000000006</v>
      </c>
      <c r="E994" s="18"/>
      <c r="F994" s="18"/>
      <c r="G994" s="18"/>
      <c r="H994" s="18"/>
      <c r="I994" s="18"/>
      <c r="J994" s="18"/>
      <c r="K994" s="18"/>
      <c r="L994" s="10"/>
      <c r="M994" s="18"/>
      <c r="N994" s="10"/>
      <c r="O994" s="18"/>
      <c r="P994" s="18"/>
      <c r="Q994" s="18">
        <v>12469330.6</v>
      </c>
      <c r="R994" s="18"/>
      <c r="S994" s="18"/>
    </row>
    <row r="995" spans="1:19" ht="15" customHeight="1" x14ac:dyDescent="0.25">
      <c r="A995" s="9" t="s">
        <v>76</v>
      </c>
      <c r="B995" s="17" t="s">
        <v>111</v>
      </c>
      <c r="C995" s="18">
        <f t="shared" si="66"/>
        <v>12475326.6</v>
      </c>
      <c r="D995" s="18">
        <v>70336.3</v>
      </c>
      <c r="E995" s="18"/>
      <c r="F995" s="18"/>
      <c r="G995" s="18"/>
      <c r="H995" s="18"/>
      <c r="I995" s="18"/>
      <c r="J995" s="18"/>
      <c r="K995" s="18"/>
      <c r="L995" s="10"/>
      <c r="M995" s="18"/>
      <c r="N995" s="10"/>
      <c r="O995" s="18"/>
      <c r="P995" s="18"/>
      <c r="Q995" s="18">
        <v>12404990.300000001</v>
      </c>
      <c r="R995" s="18"/>
      <c r="S995" s="18"/>
    </row>
    <row r="996" spans="1:19" ht="15" customHeight="1" x14ac:dyDescent="0.25">
      <c r="A996" s="9" t="s">
        <v>78</v>
      </c>
      <c r="B996" s="17" t="s">
        <v>113</v>
      </c>
      <c r="C996" s="18">
        <f t="shared" si="66"/>
        <v>6746772.2300000004</v>
      </c>
      <c r="D996" s="18">
        <v>38038.519999999997</v>
      </c>
      <c r="E996" s="18"/>
      <c r="F996" s="18">
        <v>1748362.9</v>
      </c>
      <c r="G996" s="18"/>
      <c r="H996" s="18">
        <v>1600837.47</v>
      </c>
      <c r="I996" s="18">
        <v>666619.84</v>
      </c>
      <c r="J996" s="18">
        <v>917632.43</v>
      </c>
      <c r="K996" s="18"/>
      <c r="L996" s="10"/>
      <c r="M996" s="18"/>
      <c r="N996" s="10"/>
      <c r="O996" s="18"/>
      <c r="P996" s="18">
        <v>1775281.07</v>
      </c>
      <c r="Q996" s="18"/>
      <c r="R996" s="18"/>
      <c r="S996" s="18"/>
    </row>
    <row r="997" spans="1:19" x14ac:dyDescent="0.25">
      <c r="A997" s="9" t="s">
        <v>80</v>
      </c>
      <c r="B997" s="17" t="s">
        <v>1900</v>
      </c>
      <c r="C997" s="18">
        <f t="shared" si="66"/>
        <v>15327433.310000001</v>
      </c>
      <c r="D997" s="18">
        <v>290992.86</v>
      </c>
      <c r="E997" s="18">
        <v>74556.03</v>
      </c>
      <c r="F997" s="18"/>
      <c r="G997" s="18"/>
      <c r="H997" s="18"/>
      <c r="I997" s="18"/>
      <c r="J997" s="18"/>
      <c r="K997" s="18"/>
      <c r="L997" s="10">
        <v>5</v>
      </c>
      <c r="M997" s="18">
        <v>14961884.42</v>
      </c>
      <c r="N997" s="10"/>
      <c r="O997" s="18"/>
      <c r="P997" s="18"/>
      <c r="Q997" s="18"/>
      <c r="R997" s="18"/>
      <c r="S997" s="18"/>
    </row>
    <row r="998" spans="1:19" x14ac:dyDescent="0.25">
      <c r="A998" s="9" t="s">
        <v>82</v>
      </c>
      <c r="B998" s="17" t="s">
        <v>137</v>
      </c>
      <c r="C998" s="18">
        <f t="shared" si="66"/>
        <v>5334911.2</v>
      </c>
      <c r="D998" s="18">
        <v>30078.400000000001</v>
      </c>
      <c r="E998" s="18"/>
      <c r="F998" s="18"/>
      <c r="G998" s="18"/>
      <c r="H998" s="18"/>
      <c r="I998" s="18"/>
      <c r="J998" s="18"/>
      <c r="K998" s="18"/>
      <c r="L998" s="10"/>
      <c r="M998" s="18"/>
      <c r="N998" s="10"/>
      <c r="O998" s="18"/>
      <c r="P998" s="18">
        <v>5304832.8</v>
      </c>
      <c r="Q998" s="18"/>
      <c r="R998" s="18"/>
      <c r="S998" s="18"/>
    </row>
    <row r="999" spans="1:19" x14ac:dyDescent="0.25">
      <c r="A999" s="9" t="s">
        <v>84</v>
      </c>
      <c r="B999" s="17" t="s">
        <v>125</v>
      </c>
      <c r="C999" s="18">
        <f t="shared" si="66"/>
        <v>4097986.78</v>
      </c>
      <c r="D999" s="18">
        <v>23104.58</v>
      </c>
      <c r="E999" s="18"/>
      <c r="F999" s="18">
        <v>4074882.2</v>
      </c>
      <c r="G999" s="18"/>
      <c r="H999" s="18"/>
      <c r="I999" s="18"/>
      <c r="J999" s="18"/>
      <c r="K999" s="18"/>
      <c r="L999" s="10"/>
      <c r="M999" s="18"/>
      <c r="N999" s="10"/>
      <c r="O999" s="18"/>
      <c r="P999" s="18"/>
      <c r="Q999" s="18"/>
      <c r="R999" s="18"/>
      <c r="S999" s="18"/>
    </row>
    <row r="1000" spans="1:19" x14ac:dyDescent="0.25">
      <c r="A1000" s="9" t="s">
        <v>86</v>
      </c>
      <c r="B1000" s="17" t="s">
        <v>127</v>
      </c>
      <c r="C1000" s="18">
        <f t="shared" si="66"/>
        <v>4097986.78</v>
      </c>
      <c r="D1000" s="18">
        <v>23104.58</v>
      </c>
      <c r="E1000" s="18"/>
      <c r="F1000" s="18">
        <v>4074882.2</v>
      </c>
      <c r="G1000" s="18"/>
      <c r="H1000" s="18"/>
      <c r="I1000" s="18"/>
      <c r="J1000" s="18"/>
      <c r="K1000" s="18"/>
      <c r="L1000" s="10"/>
      <c r="M1000" s="18"/>
      <c r="N1000" s="10"/>
      <c r="O1000" s="18"/>
      <c r="P1000" s="18"/>
      <c r="Q1000" s="18"/>
      <c r="R1000" s="18"/>
      <c r="S1000" s="18"/>
    </row>
    <row r="1001" spans="1:19" ht="15" customHeight="1" x14ac:dyDescent="0.25">
      <c r="A1001" s="9" t="s">
        <v>88</v>
      </c>
      <c r="B1001" s="17" t="s">
        <v>129</v>
      </c>
      <c r="C1001" s="18">
        <f t="shared" si="66"/>
        <v>2595789.0099999998</v>
      </c>
      <c r="D1001" s="18">
        <v>14635.14</v>
      </c>
      <c r="E1001" s="18"/>
      <c r="F1001" s="18">
        <v>2581153.87</v>
      </c>
      <c r="G1001" s="18"/>
      <c r="H1001" s="18"/>
      <c r="I1001" s="18"/>
      <c r="J1001" s="18"/>
      <c r="K1001" s="18"/>
      <c r="L1001" s="10"/>
      <c r="M1001" s="18"/>
      <c r="N1001" s="10"/>
      <c r="O1001" s="18"/>
      <c r="P1001" s="18"/>
      <c r="Q1001" s="18"/>
      <c r="R1001" s="18"/>
      <c r="S1001" s="18"/>
    </row>
    <row r="1002" spans="1:19" x14ac:dyDescent="0.25">
      <c r="A1002" s="9" t="s">
        <v>90</v>
      </c>
      <c r="B1002" s="17" t="s">
        <v>131</v>
      </c>
      <c r="C1002" s="18">
        <f t="shared" si="66"/>
        <v>2583916.91</v>
      </c>
      <c r="D1002" s="18">
        <v>14568.21</v>
      </c>
      <c r="E1002" s="18"/>
      <c r="F1002" s="18">
        <v>2569348.7000000002</v>
      </c>
      <c r="G1002" s="18"/>
      <c r="H1002" s="18"/>
      <c r="I1002" s="18"/>
      <c r="J1002" s="18"/>
      <c r="K1002" s="18"/>
      <c r="L1002" s="10"/>
      <c r="M1002" s="18"/>
      <c r="N1002" s="10"/>
      <c r="O1002" s="18"/>
      <c r="P1002" s="18"/>
      <c r="Q1002" s="18"/>
      <c r="R1002" s="18"/>
      <c r="S1002" s="18"/>
    </row>
    <row r="1003" spans="1:19" x14ac:dyDescent="0.25">
      <c r="A1003" s="9" t="s">
        <v>92</v>
      </c>
      <c r="B1003" s="17" t="s">
        <v>133</v>
      </c>
      <c r="C1003" s="18">
        <f t="shared" si="66"/>
        <v>5597885.3300000001</v>
      </c>
      <c r="D1003" s="18">
        <v>31561.06</v>
      </c>
      <c r="E1003" s="18"/>
      <c r="F1003" s="18">
        <v>2581153.87</v>
      </c>
      <c r="G1003" s="18"/>
      <c r="H1003" s="18"/>
      <c r="I1003" s="18"/>
      <c r="J1003" s="18"/>
      <c r="K1003" s="18"/>
      <c r="L1003" s="10"/>
      <c r="M1003" s="18"/>
      <c r="N1003" s="10"/>
      <c r="O1003" s="18"/>
      <c r="P1003" s="18">
        <v>2985170.4</v>
      </c>
      <c r="Q1003" s="18"/>
      <c r="R1003" s="18"/>
      <c r="S1003" s="18"/>
    </row>
    <row r="1004" spans="1:19" x14ac:dyDescent="0.25">
      <c r="A1004" s="9" t="s">
        <v>94</v>
      </c>
      <c r="B1004" s="17" t="s">
        <v>135</v>
      </c>
      <c r="C1004" s="18">
        <f t="shared" si="66"/>
        <v>1758845.49</v>
      </c>
      <c r="D1004" s="18">
        <v>9916.43</v>
      </c>
      <c r="E1004" s="18"/>
      <c r="F1004" s="18">
        <v>1748929.06</v>
      </c>
      <c r="G1004" s="18"/>
      <c r="H1004" s="18"/>
      <c r="I1004" s="18"/>
      <c r="J1004" s="18"/>
      <c r="K1004" s="18"/>
      <c r="L1004" s="10"/>
      <c r="M1004" s="18"/>
      <c r="N1004" s="10"/>
      <c r="O1004" s="18"/>
      <c r="P1004" s="18"/>
      <c r="Q1004" s="18"/>
      <c r="R1004" s="18"/>
      <c r="S1004" s="18"/>
    </row>
    <row r="1005" spans="1:19" x14ac:dyDescent="0.25">
      <c r="A1005" s="9" t="s">
        <v>96</v>
      </c>
      <c r="B1005" s="17" t="s">
        <v>139</v>
      </c>
      <c r="C1005" s="18">
        <f t="shared" si="66"/>
        <v>6755290.0700000003</v>
      </c>
      <c r="D1005" s="18">
        <v>38086.54</v>
      </c>
      <c r="E1005" s="18"/>
      <c r="F1005" s="18"/>
      <c r="G1005" s="18"/>
      <c r="H1005" s="18">
        <v>1343220.75</v>
      </c>
      <c r="I1005" s="18">
        <v>586355.98</v>
      </c>
      <c r="J1005" s="18"/>
      <c r="K1005" s="18"/>
      <c r="L1005" s="10"/>
      <c r="M1005" s="18"/>
      <c r="N1005" s="10"/>
      <c r="O1005" s="18"/>
      <c r="P1005" s="18"/>
      <c r="Q1005" s="18">
        <v>4787626.8</v>
      </c>
      <c r="R1005" s="18"/>
      <c r="S1005" s="18"/>
    </row>
    <row r="1006" spans="1:19" x14ac:dyDescent="0.25">
      <c r="A1006" s="9" t="s">
        <v>98</v>
      </c>
      <c r="B1006" s="17" t="s">
        <v>145</v>
      </c>
      <c r="C1006" s="18">
        <f t="shared" si="66"/>
        <v>4185951.89</v>
      </c>
      <c r="D1006" s="18">
        <v>23600.53</v>
      </c>
      <c r="E1006" s="18"/>
      <c r="F1006" s="18"/>
      <c r="G1006" s="18"/>
      <c r="H1006" s="18">
        <v>2728257.53</v>
      </c>
      <c r="I1006" s="18">
        <v>1434093.83</v>
      </c>
      <c r="J1006" s="18"/>
      <c r="K1006" s="18"/>
      <c r="L1006" s="10"/>
      <c r="M1006" s="18"/>
      <c r="N1006" s="10"/>
      <c r="O1006" s="18"/>
      <c r="P1006" s="18"/>
      <c r="Q1006" s="18"/>
      <c r="R1006" s="18"/>
      <c r="S1006" s="18"/>
    </row>
    <row r="1007" spans="1:19" x14ac:dyDescent="0.25">
      <c r="A1007" s="9" t="s">
        <v>100</v>
      </c>
      <c r="B1007" s="17" t="s">
        <v>153</v>
      </c>
      <c r="C1007" s="18">
        <f t="shared" si="66"/>
        <v>10281127.689999999</v>
      </c>
      <c r="D1007" s="18">
        <v>57965.34</v>
      </c>
      <c r="E1007" s="18"/>
      <c r="F1007" s="18"/>
      <c r="G1007" s="18"/>
      <c r="H1007" s="18">
        <v>1585448.86</v>
      </c>
      <c r="I1007" s="18">
        <v>719023.92</v>
      </c>
      <c r="J1007" s="18">
        <v>953176.8</v>
      </c>
      <c r="K1007" s="18"/>
      <c r="L1007" s="10"/>
      <c r="M1007" s="18"/>
      <c r="N1007" s="10" t="s">
        <v>552</v>
      </c>
      <c r="O1007" s="18">
        <v>6965512.7699999996</v>
      </c>
      <c r="P1007" s="18"/>
      <c r="Q1007" s="18"/>
      <c r="R1007" s="18"/>
      <c r="S1007" s="18"/>
    </row>
    <row r="1008" spans="1:19" x14ac:dyDescent="0.25">
      <c r="A1008" s="9" t="s">
        <v>102</v>
      </c>
      <c r="B1008" s="17" t="s">
        <v>155</v>
      </c>
      <c r="C1008" s="18">
        <f t="shared" si="66"/>
        <v>10181141.08</v>
      </c>
      <c r="D1008" s="18">
        <v>57401.04</v>
      </c>
      <c r="E1008" s="18"/>
      <c r="F1008" s="18"/>
      <c r="G1008" s="18"/>
      <c r="H1008" s="18">
        <v>1578115.78</v>
      </c>
      <c r="I1008" s="18">
        <v>469932.5</v>
      </c>
      <c r="J1008" s="18">
        <v>920427.61</v>
      </c>
      <c r="K1008" s="18"/>
      <c r="L1008" s="10"/>
      <c r="M1008" s="18"/>
      <c r="N1008" s="10"/>
      <c r="O1008" s="18"/>
      <c r="P1008" s="18"/>
      <c r="Q1008" s="18">
        <v>7155264.1500000004</v>
      </c>
      <c r="R1008" s="18"/>
      <c r="S1008" s="18"/>
    </row>
    <row r="1009" spans="1:19" x14ac:dyDescent="0.25">
      <c r="A1009" s="9"/>
      <c r="B1009" s="33" t="s">
        <v>2078</v>
      </c>
      <c r="C1009" s="18">
        <f>ROUND(D1009+E1009+F1009+G1009+H1009+I1009+J1009+K1009+M1009+O1009+P1009+Q1009+R1009+S1009,2)</f>
        <v>206198630.80000001</v>
      </c>
      <c r="D1009" s="18">
        <f t="shared" ref="D1009:M1009" si="67">SUM(D978:D1008)</f>
        <v>1448611.7700000005</v>
      </c>
      <c r="E1009" s="18">
        <f t="shared" si="67"/>
        <v>162725.47999999998</v>
      </c>
      <c r="F1009" s="18">
        <f t="shared" si="67"/>
        <v>28012283.199999999</v>
      </c>
      <c r="G1009" s="18">
        <f t="shared" si="67"/>
        <v>0</v>
      </c>
      <c r="H1009" s="18">
        <f t="shared" si="67"/>
        <v>13768640.659999998</v>
      </c>
      <c r="I1009" s="18">
        <f t="shared" si="67"/>
        <v>5891605.25</v>
      </c>
      <c r="J1009" s="18">
        <f t="shared" si="67"/>
        <v>4794969.1100000003</v>
      </c>
      <c r="K1009" s="18">
        <f t="shared" si="67"/>
        <v>0</v>
      </c>
      <c r="L1009" s="10">
        <f t="shared" si="67"/>
        <v>7</v>
      </c>
      <c r="M1009" s="18">
        <f t="shared" si="67"/>
        <v>20946638.189999998</v>
      </c>
      <c r="N1009" s="18" t="s">
        <v>42</v>
      </c>
      <c r="O1009" s="18">
        <f>SUM(O978:O1008)</f>
        <v>6965512.7699999996</v>
      </c>
      <c r="P1009" s="18">
        <f>SUM(P978:P1008)</f>
        <v>20664075.23</v>
      </c>
      <c r="Q1009" s="18">
        <f>SUM(Q978:Q1008)</f>
        <v>103543569.14</v>
      </c>
      <c r="R1009" s="18">
        <f>SUM(R978:R1008)</f>
        <v>0</v>
      </c>
      <c r="S1009" s="18">
        <f>SUM(S978:S1008)</f>
        <v>0</v>
      </c>
    </row>
    <row r="1010" spans="1:19" x14ac:dyDescent="0.25">
      <c r="A1010" s="9"/>
      <c r="B1010" s="46" t="s">
        <v>167</v>
      </c>
      <c r="C1010" s="19">
        <f>SUM(C978:C1009)/2</f>
        <v>206198630.80000001</v>
      </c>
      <c r="D1010" s="13"/>
      <c r="E1010" s="13"/>
      <c r="F1010" s="13"/>
      <c r="G1010" s="13"/>
      <c r="H1010" s="13"/>
      <c r="I1010" s="13"/>
      <c r="J1010" s="13"/>
      <c r="K1010" s="13"/>
      <c r="L1010" s="14"/>
      <c r="M1010" s="13"/>
      <c r="N1010" s="14"/>
      <c r="O1010" s="13"/>
      <c r="P1010" s="13"/>
      <c r="Q1010" s="13"/>
      <c r="R1010" s="13"/>
      <c r="S1010" s="13"/>
    </row>
    <row r="1011" spans="1:19" x14ac:dyDescent="0.25">
      <c r="A1011" s="9" t="s">
        <v>104</v>
      </c>
      <c r="B1011" s="17" t="s">
        <v>169</v>
      </c>
      <c r="C1011" s="18">
        <f t="shared" ref="C1011:C1021" si="68">ROUNDUP(SUM(D1011+E1011+F1011+G1011+H1011+I1011+J1011+K1011+M1011+O1011+P1011+Q1011+R1011+S1011),2)</f>
        <v>3362500.71</v>
      </c>
      <c r="D1011" s="18">
        <v>65252.54</v>
      </c>
      <c r="E1011" s="18"/>
      <c r="F1011" s="18"/>
      <c r="G1011" s="18">
        <v>2903063.1</v>
      </c>
      <c r="H1011" s="18"/>
      <c r="I1011" s="18">
        <v>394185.07</v>
      </c>
      <c r="J1011" s="18"/>
      <c r="K1011" s="18"/>
      <c r="L1011" s="10"/>
      <c r="M1011" s="18"/>
      <c r="N1011" s="10"/>
      <c r="O1011" s="18"/>
      <c r="P1011" s="18"/>
      <c r="Q1011" s="18"/>
      <c r="R1011" s="18"/>
      <c r="S1011" s="18"/>
    </row>
    <row r="1012" spans="1:19" x14ac:dyDescent="0.25">
      <c r="A1012" s="9">
        <f t="shared" ref="A1012:A1021" si="69">1+A1011</f>
        <v>39</v>
      </c>
      <c r="B1012" s="17" t="s">
        <v>175</v>
      </c>
      <c r="C1012" s="18">
        <f t="shared" si="68"/>
        <v>4232712.8600000003</v>
      </c>
      <c r="D1012" s="18">
        <v>82139.839999999997</v>
      </c>
      <c r="E1012" s="18"/>
      <c r="F1012" s="18"/>
      <c r="G1012" s="18">
        <v>3663898.21</v>
      </c>
      <c r="H1012" s="18"/>
      <c r="I1012" s="18">
        <v>486674.81</v>
      </c>
      <c r="J1012" s="18"/>
      <c r="K1012" s="18"/>
      <c r="L1012" s="10"/>
      <c r="M1012" s="18"/>
      <c r="N1012" s="10"/>
      <c r="O1012" s="18"/>
      <c r="P1012" s="18"/>
      <c r="Q1012" s="18"/>
      <c r="R1012" s="18"/>
      <c r="S1012" s="18"/>
    </row>
    <row r="1013" spans="1:19" x14ac:dyDescent="0.25">
      <c r="A1013" s="9">
        <f t="shared" si="69"/>
        <v>40</v>
      </c>
      <c r="B1013" s="17" t="s">
        <v>177</v>
      </c>
      <c r="C1013" s="18">
        <f t="shared" si="68"/>
        <v>3281695.42</v>
      </c>
      <c r="D1013" s="18">
        <v>63684.43</v>
      </c>
      <c r="E1013" s="18"/>
      <c r="F1013" s="18"/>
      <c r="G1013" s="18">
        <v>2707075.47</v>
      </c>
      <c r="H1013" s="18"/>
      <c r="I1013" s="18">
        <v>510935.52</v>
      </c>
      <c r="J1013" s="18"/>
      <c r="K1013" s="18"/>
      <c r="L1013" s="10"/>
      <c r="M1013" s="18"/>
      <c r="N1013" s="10"/>
      <c r="O1013" s="18"/>
      <c r="P1013" s="18"/>
      <c r="Q1013" s="18"/>
      <c r="R1013" s="18"/>
      <c r="S1013" s="18"/>
    </row>
    <row r="1014" spans="1:19" x14ac:dyDescent="0.25">
      <c r="A1014" s="9">
        <f t="shared" si="69"/>
        <v>41</v>
      </c>
      <c r="B1014" s="17" t="s">
        <v>179</v>
      </c>
      <c r="C1014" s="18">
        <f t="shared" si="68"/>
        <v>3266242.76</v>
      </c>
      <c r="D1014" s="18">
        <v>63384.56</v>
      </c>
      <c r="E1014" s="18"/>
      <c r="F1014" s="18"/>
      <c r="G1014" s="18">
        <v>2883065.76</v>
      </c>
      <c r="H1014" s="18"/>
      <c r="I1014" s="18">
        <v>319792.44</v>
      </c>
      <c r="J1014" s="18"/>
      <c r="K1014" s="18"/>
      <c r="L1014" s="10"/>
      <c r="M1014" s="18"/>
      <c r="N1014" s="10"/>
      <c r="O1014" s="18"/>
      <c r="P1014" s="18"/>
      <c r="Q1014" s="18"/>
      <c r="R1014" s="18"/>
      <c r="S1014" s="18"/>
    </row>
    <row r="1015" spans="1:19" x14ac:dyDescent="0.25">
      <c r="A1015" s="9">
        <f t="shared" si="69"/>
        <v>42</v>
      </c>
      <c r="B1015" s="17" t="s">
        <v>181</v>
      </c>
      <c r="C1015" s="18">
        <f t="shared" si="68"/>
        <v>3539240.86</v>
      </c>
      <c r="D1015" s="18">
        <v>68682.350000000006</v>
      </c>
      <c r="E1015" s="18"/>
      <c r="F1015" s="18"/>
      <c r="G1015" s="18">
        <v>3042945.88</v>
      </c>
      <c r="H1015" s="18"/>
      <c r="I1015" s="18">
        <v>427612.63</v>
      </c>
      <c r="J1015" s="18"/>
      <c r="K1015" s="18"/>
      <c r="L1015" s="10"/>
      <c r="M1015" s="18"/>
      <c r="N1015" s="10"/>
      <c r="O1015" s="18"/>
      <c r="P1015" s="18"/>
      <c r="Q1015" s="18"/>
      <c r="R1015" s="18"/>
      <c r="S1015" s="18"/>
    </row>
    <row r="1016" spans="1:19" x14ac:dyDescent="0.25">
      <c r="A1016" s="9">
        <f t="shared" si="69"/>
        <v>43</v>
      </c>
      <c r="B1016" s="17" t="s">
        <v>183</v>
      </c>
      <c r="C1016" s="18">
        <f t="shared" si="68"/>
        <v>1676007.95</v>
      </c>
      <c r="D1016" s="18">
        <v>32524.54</v>
      </c>
      <c r="E1016" s="18"/>
      <c r="F1016" s="18"/>
      <c r="G1016" s="18">
        <v>1368213.01</v>
      </c>
      <c r="H1016" s="18"/>
      <c r="I1016" s="18">
        <v>275270.40000000002</v>
      </c>
      <c r="J1016" s="18"/>
      <c r="K1016" s="18"/>
      <c r="L1016" s="10"/>
      <c r="M1016" s="18"/>
      <c r="N1016" s="10"/>
      <c r="O1016" s="18"/>
      <c r="P1016" s="18"/>
      <c r="Q1016" s="18"/>
      <c r="R1016" s="18"/>
      <c r="S1016" s="18"/>
    </row>
    <row r="1017" spans="1:19" ht="15" customHeight="1" x14ac:dyDescent="0.25">
      <c r="A1017" s="9">
        <f t="shared" si="69"/>
        <v>44</v>
      </c>
      <c r="B1017" s="17" t="s">
        <v>185</v>
      </c>
      <c r="C1017" s="18">
        <f t="shared" si="68"/>
        <v>1950187.39</v>
      </c>
      <c r="D1017" s="18">
        <v>37845.25</v>
      </c>
      <c r="E1017" s="18"/>
      <c r="F1017" s="18"/>
      <c r="G1017" s="18">
        <v>1530551.16</v>
      </c>
      <c r="H1017" s="18"/>
      <c r="I1017" s="18">
        <v>381790.98</v>
      </c>
      <c r="J1017" s="18"/>
      <c r="K1017" s="18"/>
      <c r="L1017" s="10"/>
      <c r="M1017" s="18"/>
      <c r="N1017" s="10"/>
      <c r="O1017" s="18"/>
      <c r="P1017" s="18"/>
      <c r="Q1017" s="18"/>
      <c r="R1017" s="18"/>
      <c r="S1017" s="18"/>
    </row>
    <row r="1018" spans="1:19" ht="15" customHeight="1" x14ac:dyDescent="0.25">
      <c r="A1018" s="9">
        <f t="shared" si="69"/>
        <v>45</v>
      </c>
      <c r="B1018" s="17" t="s">
        <v>189</v>
      </c>
      <c r="C1018" s="18">
        <f t="shared" si="68"/>
        <v>180183.31</v>
      </c>
      <c r="D1018" s="18">
        <v>3496.63</v>
      </c>
      <c r="E1018" s="18"/>
      <c r="F1018" s="18"/>
      <c r="G1018" s="18"/>
      <c r="H1018" s="18"/>
      <c r="I1018" s="18">
        <v>176686.68</v>
      </c>
      <c r="J1018" s="18"/>
      <c r="K1018" s="18"/>
      <c r="L1018" s="10"/>
      <c r="M1018" s="18"/>
      <c r="N1018" s="10"/>
      <c r="O1018" s="18"/>
      <c r="P1018" s="18"/>
      <c r="Q1018" s="18"/>
      <c r="R1018" s="18"/>
      <c r="S1018" s="18"/>
    </row>
    <row r="1019" spans="1:19" x14ac:dyDescent="0.2">
      <c r="A1019" s="9">
        <f t="shared" si="69"/>
        <v>46</v>
      </c>
      <c r="B1019" s="17" t="s">
        <v>191</v>
      </c>
      <c r="C1019" s="18">
        <f t="shared" si="68"/>
        <v>5618792.3399999999</v>
      </c>
      <c r="D1019" s="18">
        <v>109038.04</v>
      </c>
      <c r="E1019" s="18"/>
      <c r="F1019" s="18"/>
      <c r="G1019" s="18"/>
      <c r="H1019" s="18"/>
      <c r="I1019" s="18">
        <v>210107.93</v>
      </c>
      <c r="J1019" s="8">
        <v>251159.59</v>
      </c>
      <c r="K1019" s="18"/>
      <c r="L1019" s="10"/>
      <c r="M1019" s="18"/>
      <c r="N1019" s="10" t="s">
        <v>883</v>
      </c>
      <c r="O1019" s="18">
        <v>5048486.78</v>
      </c>
      <c r="P1019" s="18"/>
      <c r="Q1019" s="18"/>
      <c r="R1019" s="18"/>
      <c r="S1019" s="18"/>
    </row>
    <row r="1020" spans="1:19" x14ac:dyDescent="0.25">
      <c r="A1020" s="9">
        <f t="shared" si="69"/>
        <v>47</v>
      </c>
      <c r="B1020" s="17" t="s">
        <v>193</v>
      </c>
      <c r="C1020" s="18">
        <f>ROUNDUP(SUM(D1020+E1020+F1020+G1020+H1020+I1020+J1020+K1020+M1020+O1020+P1020+Q1020+R1020+S1020),2)</f>
        <v>8305007.9400000004</v>
      </c>
      <c r="D1020" s="18">
        <v>161166.62</v>
      </c>
      <c r="E1020" s="18"/>
      <c r="F1020" s="18"/>
      <c r="G1020" s="18"/>
      <c r="H1020" s="18"/>
      <c r="I1020" s="18"/>
      <c r="J1020" s="18"/>
      <c r="K1020" s="18"/>
      <c r="L1020" s="10"/>
      <c r="M1020" s="18"/>
      <c r="N1020" s="10" t="s">
        <v>883</v>
      </c>
      <c r="O1020" s="18">
        <v>8143841.3200000003</v>
      </c>
      <c r="P1020" s="18"/>
      <c r="Q1020" s="18"/>
      <c r="R1020" s="18"/>
      <c r="S1020" s="18"/>
    </row>
    <row r="1021" spans="1:19" x14ac:dyDescent="0.25">
      <c r="A1021" s="9">
        <f t="shared" si="69"/>
        <v>48</v>
      </c>
      <c r="B1021" s="17" t="s">
        <v>195</v>
      </c>
      <c r="C1021" s="18">
        <f t="shared" si="68"/>
        <v>8413053.4499999993</v>
      </c>
      <c r="D1021" s="18">
        <v>163263.35</v>
      </c>
      <c r="E1021" s="18"/>
      <c r="F1021" s="18"/>
      <c r="G1021" s="18"/>
      <c r="H1021" s="18"/>
      <c r="I1021" s="18"/>
      <c r="J1021" s="18"/>
      <c r="K1021" s="18"/>
      <c r="L1021" s="10"/>
      <c r="M1021" s="18"/>
      <c r="N1021" s="10" t="s">
        <v>883</v>
      </c>
      <c r="O1021" s="18">
        <v>8249790.0999999996</v>
      </c>
      <c r="P1021" s="18"/>
      <c r="Q1021" s="18"/>
      <c r="R1021" s="18"/>
      <c r="S1021" s="18"/>
    </row>
    <row r="1022" spans="1:19" ht="18" customHeight="1" x14ac:dyDescent="0.25">
      <c r="A1022" s="9"/>
      <c r="B1022" s="33" t="s">
        <v>2079</v>
      </c>
      <c r="C1022" s="18">
        <f>ROUND(D1022+E1022+F1022+G1022+H1022+I1022+J1022+K1022+M1022+O1022+P1022+Q1022+R1022+S1022,2)</f>
        <v>43825624.990000002</v>
      </c>
      <c r="D1022" s="18">
        <f t="shared" ref="D1022:S1022" si="70">SUM(D1011:D1021)</f>
        <v>850478.14999999991</v>
      </c>
      <c r="E1022" s="18">
        <f t="shared" si="70"/>
        <v>0</v>
      </c>
      <c r="F1022" s="18">
        <f t="shared" si="70"/>
        <v>0</v>
      </c>
      <c r="G1022" s="18">
        <f t="shared" si="70"/>
        <v>18098812.59</v>
      </c>
      <c r="H1022" s="18">
        <f t="shared" si="70"/>
        <v>0</v>
      </c>
      <c r="I1022" s="18">
        <f t="shared" si="70"/>
        <v>3183056.46</v>
      </c>
      <c r="J1022" s="18">
        <f t="shared" si="70"/>
        <v>251159.59</v>
      </c>
      <c r="K1022" s="18">
        <f t="shared" si="70"/>
        <v>0</v>
      </c>
      <c r="L1022" s="10">
        <f t="shared" si="70"/>
        <v>0</v>
      </c>
      <c r="M1022" s="18">
        <f t="shared" si="70"/>
        <v>0</v>
      </c>
      <c r="N1022" s="18" t="s">
        <v>42</v>
      </c>
      <c r="O1022" s="18">
        <f t="shared" si="70"/>
        <v>21442118.200000003</v>
      </c>
      <c r="P1022" s="18">
        <f t="shared" si="70"/>
        <v>0</v>
      </c>
      <c r="Q1022" s="18">
        <f t="shared" si="70"/>
        <v>0</v>
      </c>
      <c r="R1022" s="18">
        <f t="shared" si="70"/>
        <v>0</v>
      </c>
      <c r="S1022" s="18">
        <f t="shared" si="70"/>
        <v>0</v>
      </c>
    </row>
    <row r="1023" spans="1:19" x14ac:dyDescent="0.25">
      <c r="A1023" s="9"/>
      <c r="B1023" s="46" t="s">
        <v>197</v>
      </c>
      <c r="C1023" s="19"/>
      <c r="D1023" s="13"/>
      <c r="E1023" s="13"/>
      <c r="F1023" s="13"/>
      <c r="G1023" s="13"/>
      <c r="H1023" s="13"/>
      <c r="I1023" s="13"/>
      <c r="J1023" s="13"/>
      <c r="K1023" s="13"/>
      <c r="L1023" s="14"/>
      <c r="M1023" s="13"/>
      <c r="N1023" s="14"/>
      <c r="O1023" s="13"/>
      <c r="P1023" s="13"/>
      <c r="Q1023" s="13"/>
      <c r="R1023" s="13"/>
      <c r="S1023" s="13"/>
    </row>
    <row r="1024" spans="1:19" x14ac:dyDescent="0.25">
      <c r="A1024" s="9" t="s">
        <v>126</v>
      </c>
      <c r="B1024" s="17" t="s">
        <v>205</v>
      </c>
      <c r="C1024" s="18">
        <f t="shared" ref="C1024:C1051" si="71">ROUNDUP(SUM(D1024+E1024+F1024+G1024+H1024+I1024+J1024+K1024+M1024+O1024+P1024+Q1024+R1024+S1024),2)</f>
        <v>15863641.609999999</v>
      </c>
      <c r="D1024" s="18">
        <v>0</v>
      </c>
      <c r="E1024" s="18"/>
      <c r="F1024" s="18"/>
      <c r="G1024" s="18"/>
      <c r="H1024" s="18"/>
      <c r="I1024" s="18"/>
      <c r="J1024" s="18"/>
      <c r="K1024" s="18"/>
      <c r="L1024" s="10"/>
      <c r="M1024" s="18"/>
      <c r="N1024" s="10"/>
      <c r="O1024" s="18"/>
      <c r="P1024" s="18">
        <v>3215055.43</v>
      </c>
      <c r="Q1024" s="18">
        <v>12648586.18</v>
      </c>
      <c r="R1024" s="18"/>
      <c r="S1024" s="18"/>
    </row>
    <row r="1025" spans="1:19" x14ac:dyDescent="0.25">
      <c r="A1025" s="9" t="s">
        <v>128</v>
      </c>
      <c r="B1025" s="17" t="s">
        <v>199</v>
      </c>
      <c r="C1025" s="18">
        <f t="shared" si="71"/>
        <v>7930527.8899999997</v>
      </c>
      <c r="D1025" s="18">
        <v>0</v>
      </c>
      <c r="E1025" s="18"/>
      <c r="F1025" s="18"/>
      <c r="G1025" s="18"/>
      <c r="H1025" s="18"/>
      <c r="I1025" s="18"/>
      <c r="J1025" s="18"/>
      <c r="K1025" s="18"/>
      <c r="L1025" s="10"/>
      <c r="M1025" s="18"/>
      <c r="N1025" s="10" t="s">
        <v>552</v>
      </c>
      <c r="O1025" s="18">
        <v>7930527.8899999997</v>
      </c>
      <c r="P1025" s="18"/>
      <c r="Q1025" s="18"/>
      <c r="R1025" s="18"/>
      <c r="S1025" s="18"/>
    </row>
    <row r="1026" spans="1:19" x14ac:dyDescent="0.25">
      <c r="A1026" s="9" t="s">
        <v>130</v>
      </c>
      <c r="B1026" s="17" t="s">
        <v>201</v>
      </c>
      <c r="C1026" s="18">
        <f t="shared" si="71"/>
        <v>7571357.71</v>
      </c>
      <c r="D1026" s="18">
        <v>0</v>
      </c>
      <c r="E1026" s="18"/>
      <c r="F1026" s="18"/>
      <c r="G1026" s="18"/>
      <c r="H1026" s="18"/>
      <c r="I1026" s="18"/>
      <c r="J1026" s="18"/>
      <c r="K1026" s="18"/>
      <c r="L1026" s="10"/>
      <c r="M1026" s="18"/>
      <c r="N1026" s="10" t="s">
        <v>552</v>
      </c>
      <c r="O1026" s="18">
        <v>7571357.71</v>
      </c>
      <c r="P1026" s="18"/>
      <c r="Q1026" s="18"/>
      <c r="R1026" s="18"/>
      <c r="S1026" s="18"/>
    </row>
    <row r="1027" spans="1:19" x14ac:dyDescent="0.25">
      <c r="A1027" s="9" t="s">
        <v>132</v>
      </c>
      <c r="B1027" s="17" t="s">
        <v>203</v>
      </c>
      <c r="C1027" s="18">
        <f t="shared" si="71"/>
        <v>4812533.6900000004</v>
      </c>
      <c r="D1027" s="18">
        <v>0</v>
      </c>
      <c r="E1027" s="18"/>
      <c r="F1027" s="18"/>
      <c r="G1027" s="18"/>
      <c r="H1027" s="18"/>
      <c r="I1027" s="18"/>
      <c r="J1027" s="18"/>
      <c r="K1027" s="18"/>
      <c r="L1027" s="10"/>
      <c r="M1027" s="18"/>
      <c r="N1027" s="10" t="s">
        <v>552</v>
      </c>
      <c r="O1027" s="18">
        <v>4812533.6900000004</v>
      </c>
      <c r="P1027" s="18"/>
      <c r="Q1027" s="18"/>
      <c r="R1027" s="18"/>
      <c r="S1027" s="18"/>
    </row>
    <row r="1028" spans="1:19" x14ac:dyDescent="0.25">
      <c r="A1028" s="9" t="s">
        <v>134</v>
      </c>
      <c r="B1028" s="17" t="s">
        <v>209</v>
      </c>
      <c r="C1028" s="18">
        <f t="shared" si="71"/>
        <v>8102361.7999999998</v>
      </c>
      <c r="D1028" s="18">
        <v>0</v>
      </c>
      <c r="E1028" s="18"/>
      <c r="F1028" s="18"/>
      <c r="G1028" s="18"/>
      <c r="H1028" s="18"/>
      <c r="I1028" s="18"/>
      <c r="J1028" s="18"/>
      <c r="K1028" s="18"/>
      <c r="L1028" s="10"/>
      <c r="M1028" s="18"/>
      <c r="N1028" s="10" t="s">
        <v>552</v>
      </c>
      <c r="O1028" s="18">
        <v>8102361.7999999998</v>
      </c>
      <c r="P1028" s="18"/>
      <c r="Q1028" s="18"/>
      <c r="R1028" s="18"/>
      <c r="S1028" s="18"/>
    </row>
    <row r="1029" spans="1:19" x14ac:dyDescent="0.25">
      <c r="A1029" s="9" t="s">
        <v>136</v>
      </c>
      <c r="B1029" s="17" t="s">
        <v>211</v>
      </c>
      <c r="C1029" s="18">
        <f t="shared" si="71"/>
        <v>7702574.4800000004</v>
      </c>
      <c r="D1029" s="18"/>
      <c r="E1029" s="18"/>
      <c r="F1029" s="18"/>
      <c r="G1029" s="18"/>
      <c r="H1029" s="18"/>
      <c r="I1029" s="18"/>
      <c r="J1029" s="18"/>
      <c r="K1029" s="18"/>
      <c r="L1029" s="10"/>
      <c r="M1029" s="18"/>
      <c r="N1029" s="10" t="s">
        <v>552</v>
      </c>
      <c r="O1029" s="18">
        <v>7702574.4800000004</v>
      </c>
      <c r="P1029" s="18"/>
      <c r="Q1029" s="18"/>
      <c r="R1029" s="18"/>
      <c r="S1029" s="18"/>
    </row>
    <row r="1030" spans="1:19" x14ac:dyDescent="0.25">
      <c r="A1030" s="9" t="s">
        <v>138</v>
      </c>
      <c r="B1030" s="17" t="s">
        <v>213</v>
      </c>
      <c r="C1030" s="18">
        <f t="shared" si="71"/>
        <v>5108969.71</v>
      </c>
      <c r="D1030" s="18"/>
      <c r="E1030" s="18"/>
      <c r="F1030" s="18"/>
      <c r="G1030" s="18"/>
      <c r="H1030" s="18"/>
      <c r="I1030" s="18"/>
      <c r="J1030" s="18"/>
      <c r="K1030" s="18"/>
      <c r="L1030" s="10"/>
      <c r="M1030" s="18"/>
      <c r="N1030" s="10" t="s">
        <v>552</v>
      </c>
      <c r="O1030" s="18">
        <v>5108969.71</v>
      </c>
      <c r="P1030" s="18"/>
      <c r="Q1030" s="18"/>
      <c r="R1030" s="18"/>
      <c r="S1030" s="18"/>
    </row>
    <row r="1031" spans="1:19" ht="15" customHeight="1" x14ac:dyDescent="0.25">
      <c r="A1031" s="9" t="s">
        <v>140</v>
      </c>
      <c r="B1031" s="17" t="s">
        <v>215</v>
      </c>
      <c r="C1031" s="18">
        <f t="shared" si="71"/>
        <v>13723016.9</v>
      </c>
      <c r="D1031" s="18">
        <v>0</v>
      </c>
      <c r="E1031" s="18"/>
      <c r="F1031" s="18"/>
      <c r="G1031" s="18"/>
      <c r="H1031" s="18"/>
      <c r="I1031" s="18"/>
      <c r="J1031" s="18"/>
      <c r="K1031" s="18"/>
      <c r="L1031" s="10"/>
      <c r="M1031" s="18"/>
      <c r="N1031" s="10" t="s">
        <v>552</v>
      </c>
      <c r="O1031" s="18">
        <v>5070025.8600000003</v>
      </c>
      <c r="P1031" s="18"/>
      <c r="Q1031" s="18">
        <v>8652991.0399999991</v>
      </c>
      <c r="R1031" s="18"/>
      <c r="S1031" s="18"/>
    </row>
    <row r="1032" spans="1:19" ht="15" customHeight="1" x14ac:dyDescent="0.25">
      <c r="A1032" s="9" t="s">
        <v>142</v>
      </c>
      <c r="B1032" s="17" t="s">
        <v>217</v>
      </c>
      <c r="C1032" s="18">
        <f t="shared" si="71"/>
        <v>20337334.66</v>
      </c>
      <c r="D1032" s="18"/>
      <c r="E1032" s="18"/>
      <c r="F1032" s="18"/>
      <c r="G1032" s="18"/>
      <c r="H1032" s="18"/>
      <c r="I1032" s="18"/>
      <c r="J1032" s="18"/>
      <c r="K1032" s="18"/>
      <c r="L1032" s="10"/>
      <c r="M1032" s="18"/>
      <c r="N1032" s="10" t="s">
        <v>552</v>
      </c>
      <c r="O1032" s="18">
        <v>7811020.7800000003</v>
      </c>
      <c r="P1032" s="18"/>
      <c r="Q1032" s="18">
        <v>12526313.880000001</v>
      </c>
      <c r="R1032" s="18"/>
      <c r="S1032" s="18"/>
    </row>
    <row r="1033" spans="1:19" x14ac:dyDescent="0.25">
      <c r="A1033" s="9" t="s">
        <v>144</v>
      </c>
      <c r="B1033" s="17" t="s">
        <v>1901</v>
      </c>
      <c r="C1033" s="18">
        <f t="shared" si="71"/>
        <v>17202141.18</v>
      </c>
      <c r="D1033" s="18">
        <v>77326.61</v>
      </c>
      <c r="E1033" s="18">
        <v>88946</v>
      </c>
      <c r="F1033" s="18"/>
      <c r="G1033" s="18"/>
      <c r="H1033" s="18"/>
      <c r="I1033" s="18"/>
      <c r="J1033" s="18"/>
      <c r="K1033" s="18"/>
      <c r="L1033" s="10">
        <v>6</v>
      </c>
      <c r="M1033" s="18">
        <v>17035868.57</v>
      </c>
      <c r="N1033" s="10"/>
      <c r="O1033" s="18"/>
      <c r="P1033" s="18"/>
      <c r="Q1033" s="18"/>
      <c r="R1033" s="18"/>
      <c r="S1033" s="18"/>
    </row>
    <row r="1034" spans="1:19" x14ac:dyDescent="0.25">
      <c r="A1034" s="9" t="s">
        <v>146</v>
      </c>
      <c r="B1034" s="17" t="s">
        <v>219</v>
      </c>
      <c r="C1034" s="18">
        <f t="shared" si="71"/>
        <v>8096335.7000000002</v>
      </c>
      <c r="D1034" s="18">
        <v>0</v>
      </c>
      <c r="E1034" s="18"/>
      <c r="F1034" s="18"/>
      <c r="G1034" s="18"/>
      <c r="H1034" s="18"/>
      <c r="I1034" s="18"/>
      <c r="J1034" s="18"/>
      <c r="K1034" s="18"/>
      <c r="L1034" s="10"/>
      <c r="M1034" s="18"/>
      <c r="N1034" s="10" t="s">
        <v>552</v>
      </c>
      <c r="O1034" s="18">
        <v>8096335.7000000002</v>
      </c>
      <c r="P1034" s="18"/>
      <c r="Q1034" s="18"/>
      <c r="R1034" s="18"/>
      <c r="S1034" s="18"/>
    </row>
    <row r="1035" spans="1:19" x14ac:dyDescent="0.25">
      <c r="A1035" s="9" t="s">
        <v>148</v>
      </c>
      <c r="B1035" s="17" t="s">
        <v>221</v>
      </c>
      <c r="C1035" s="18">
        <f t="shared" si="71"/>
        <v>9596881.0399999991</v>
      </c>
      <c r="D1035" s="18">
        <v>0</v>
      </c>
      <c r="E1035" s="18"/>
      <c r="F1035" s="18"/>
      <c r="G1035" s="18"/>
      <c r="H1035" s="18"/>
      <c r="I1035" s="18"/>
      <c r="J1035" s="18"/>
      <c r="K1035" s="18"/>
      <c r="L1035" s="10"/>
      <c r="M1035" s="18"/>
      <c r="N1035" s="10" t="s">
        <v>552</v>
      </c>
      <c r="O1035" s="18">
        <v>9596881.0399999991</v>
      </c>
      <c r="P1035" s="18"/>
      <c r="Q1035" s="18"/>
      <c r="R1035" s="18"/>
      <c r="S1035" s="18"/>
    </row>
    <row r="1036" spans="1:19" x14ac:dyDescent="0.25">
      <c r="A1036" s="9" t="s">
        <v>150</v>
      </c>
      <c r="B1036" s="17" t="s">
        <v>223</v>
      </c>
      <c r="C1036" s="18">
        <f t="shared" si="71"/>
        <v>19859574.219999999</v>
      </c>
      <c r="D1036" s="18">
        <v>0</v>
      </c>
      <c r="E1036" s="18"/>
      <c r="F1036" s="18">
        <v>3294474.84</v>
      </c>
      <c r="G1036" s="18"/>
      <c r="H1036" s="18"/>
      <c r="I1036" s="18"/>
      <c r="J1036" s="18"/>
      <c r="K1036" s="18"/>
      <c r="L1036" s="10"/>
      <c r="M1036" s="18"/>
      <c r="N1036" s="10"/>
      <c r="O1036" s="18"/>
      <c r="P1036" s="18">
        <v>3761645.68</v>
      </c>
      <c r="Q1036" s="18">
        <v>12803453.699999999</v>
      </c>
      <c r="R1036" s="18"/>
      <c r="S1036" s="18"/>
    </row>
    <row r="1037" spans="1:19" x14ac:dyDescent="0.25">
      <c r="A1037" s="9" t="s">
        <v>152</v>
      </c>
      <c r="B1037" s="17" t="s">
        <v>225</v>
      </c>
      <c r="C1037" s="18">
        <f t="shared" si="71"/>
        <v>13239433.82</v>
      </c>
      <c r="D1037" s="18"/>
      <c r="E1037" s="18"/>
      <c r="F1037" s="18">
        <v>2278570.2599999998</v>
      </c>
      <c r="G1037" s="18"/>
      <c r="H1037" s="18">
        <v>924365.76</v>
      </c>
      <c r="I1037" s="18">
        <v>425758.45</v>
      </c>
      <c r="J1037" s="18">
        <v>1104072.17</v>
      </c>
      <c r="K1037" s="18"/>
      <c r="L1037" s="10"/>
      <c r="M1037" s="18"/>
      <c r="N1037" s="10"/>
      <c r="O1037" s="18"/>
      <c r="P1037" s="18"/>
      <c r="Q1037" s="18">
        <v>8506667.1799999997</v>
      </c>
      <c r="R1037" s="18"/>
      <c r="S1037" s="18"/>
    </row>
    <row r="1038" spans="1:19" x14ac:dyDescent="0.25">
      <c r="A1038" s="9" t="s">
        <v>154</v>
      </c>
      <c r="B1038" s="17" t="s">
        <v>227</v>
      </c>
      <c r="C1038" s="18">
        <f t="shared" si="71"/>
        <v>36013260.759999998</v>
      </c>
      <c r="D1038" s="18">
        <v>0</v>
      </c>
      <c r="E1038" s="18"/>
      <c r="F1038" s="18">
        <v>5233306.2300000004</v>
      </c>
      <c r="G1038" s="18"/>
      <c r="H1038" s="18">
        <v>2091204.68</v>
      </c>
      <c r="I1038" s="18">
        <v>873950.29</v>
      </c>
      <c r="J1038" s="18">
        <v>2358565.5099999998</v>
      </c>
      <c r="K1038" s="18"/>
      <c r="L1038" s="10"/>
      <c r="M1038" s="18"/>
      <c r="N1038" s="10"/>
      <c r="O1038" s="18"/>
      <c r="P1038" s="18">
        <v>6676887.4900000002</v>
      </c>
      <c r="Q1038" s="18">
        <v>18779346.559999999</v>
      </c>
      <c r="R1038" s="18"/>
      <c r="S1038" s="18"/>
    </row>
    <row r="1039" spans="1:19" x14ac:dyDescent="0.25">
      <c r="A1039" s="9" t="s">
        <v>156</v>
      </c>
      <c r="B1039" s="17" t="s">
        <v>229</v>
      </c>
      <c r="C1039" s="18">
        <f t="shared" si="71"/>
        <v>21714563.620000001</v>
      </c>
      <c r="D1039" s="18">
        <v>0</v>
      </c>
      <c r="E1039" s="18"/>
      <c r="F1039" s="18">
        <v>3287099.96</v>
      </c>
      <c r="G1039" s="18">
        <v>3082371.59</v>
      </c>
      <c r="H1039" s="18">
        <v>2226725.94</v>
      </c>
      <c r="I1039" s="18">
        <v>1045215.75</v>
      </c>
      <c r="J1039" s="18">
        <v>896720.8</v>
      </c>
      <c r="K1039" s="18"/>
      <c r="L1039" s="10"/>
      <c r="M1039" s="18"/>
      <c r="N1039" s="10"/>
      <c r="O1039" s="18"/>
      <c r="P1039" s="18"/>
      <c r="Q1039" s="18">
        <v>11176429.58</v>
      </c>
      <c r="R1039" s="18"/>
      <c r="S1039" s="18"/>
    </row>
    <row r="1040" spans="1:19" x14ac:dyDescent="0.25">
      <c r="A1040" s="9" t="s">
        <v>158</v>
      </c>
      <c r="B1040" s="17" t="s">
        <v>231</v>
      </c>
      <c r="C1040" s="18">
        <f t="shared" si="71"/>
        <v>16246645.15</v>
      </c>
      <c r="D1040" s="18">
        <v>0</v>
      </c>
      <c r="E1040" s="18"/>
      <c r="F1040" s="18">
        <v>2273397.6800000002</v>
      </c>
      <c r="G1040" s="18">
        <v>2592635.12</v>
      </c>
      <c r="H1040" s="18">
        <v>1613615.85</v>
      </c>
      <c r="I1040" s="18">
        <v>740112.77</v>
      </c>
      <c r="J1040" s="18">
        <v>824304</v>
      </c>
      <c r="K1040" s="18"/>
      <c r="L1040" s="10"/>
      <c r="M1040" s="18"/>
      <c r="N1040" s="10"/>
      <c r="O1040" s="18"/>
      <c r="P1040" s="18"/>
      <c r="Q1040" s="18">
        <v>8202579.7300000004</v>
      </c>
      <c r="R1040" s="18"/>
      <c r="S1040" s="18"/>
    </row>
    <row r="1041" spans="1:19" x14ac:dyDescent="0.25">
      <c r="A1041" s="9" t="s">
        <v>160</v>
      </c>
      <c r="B1041" s="17" t="s">
        <v>233</v>
      </c>
      <c r="C1041" s="18">
        <f t="shared" si="71"/>
        <v>10538114.1</v>
      </c>
      <c r="D1041" s="18">
        <v>0</v>
      </c>
      <c r="E1041" s="18"/>
      <c r="F1041" s="18"/>
      <c r="G1041" s="18"/>
      <c r="H1041" s="18"/>
      <c r="I1041" s="18"/>
      <c r="J1041" s="18"/>
      <c r="K1041" s="18"/>
      <c r="L1041" s="10"/>
      <c r="M1041" s="18"/>
      <c r="N1041" s="10" t="s">
        <v>552</v>
      </c>
      <c r="O1041" s="18">
        <v>10538114.1</v>
      </c>
      <c r="P1041" s="18"/>
      <c r="Q1041" s="18"/>
      <c r="R1041" s="18"/>
      <c r="S1041" s="18"/>
    </row>
    <row r="1042" spans="1:19" x14ac:dyDescent="0.25">
      <c r="A1042" s="9" t="s">
        <v>162</v>
      </c>
      <c r="B1042" s="17" t="s">
        <v>235</v>
      </c>
      <c r="C1042" s="18">
        <f t="shared" si="71"/>
        <v>7589930.46</v>
      </c>
      <c r="D1042" s="18">
        <v>0</v>
      </c>
      <c r="E1042" s="18"/>
      <c r="F1042" s="18"/>
      <c r="G1042" s="18"/>
      <c r="H1042" s="18"/>
      <c r="I1042" s="18"/>
      <c r="J1042" s="18"/>
      <c r="K1042" s="18"/>
      <c r="L1042" s="10"/>
      <c r="M1042" s="18"/>
      <c r="N1042" s="10" t="s">
        <v>552</v>
      </c>
      <c r="O1042" s="18">
        <v>7589930.46</v>
      </c>
      <c r="P1042" s="18"/>
      <c r="Q1042" s="18"/>
      <c r="R1042" s="18"/>
      <c r="S1042" s="18"/>
    </row>
    <row r="1043" spans="1:19" x14ac:dyDescent="0.25">
      <c r="A1043" s="9" t="s">
        <v>164</v>
      </c>
      <c r="B1043" s="17" t="s">
        <v>240</v>
      </c>
      <c r="C1043" s="18">
        <f t="shared" si="71"/>
        <v>8051740.4900000002</v>
      </c>
      <c r="D1043" s="18"/>
      <c r="E1043" s="18"/>
      <c r="F1043" s="18">
        <v>4336483.4000000004</v>
      </c>
      <c r="G1043" s="18"/>
      <c r="H1043" s="18"/>
      <c r="I1043" s="18"/>
      <c r="J1043" s="18"/>
      <c r="K1043" s="18"/>
      <c r="L1043" s="10"/>
      <c r="M1043" s="18"/>
      <c r="N1043" s="10"/>
      <c r="O1043" s="18"/>
      <c r="P1043" s="18">
        <v>3715257.09</v>
      </c>
      <c r="Q1043" s="18"/>
      <c r="R1043" s="18"/>
      <c r="S1043" s="18"/>
    </row>
    <row r="1044" spans="1:19" x14ac:dyDescent="0.25">
      <c r="A1044" s="9" t="s">
        <v>168</v>
      </c>
      <c r="B1044" s="17" t="s">
        <v>242</v>
      </c>
      <c r="C1044" s="18">
        <f t="shared" si="71"/>
        <v>3217065.66</v>
      </c>
      <c r="D1044" s="18">
        <v>0</v>
      </c>
      <c r="E1044" s="18"/>
      <c r="F1044" s="18">
        <v>3217065.66</v>
      </c>
      <c r="G1044" s="18"/>
      <c r="H1044" s="18"/>
      <c r="I1044" s="18"/>
      <c r="J1044" s="18"/>
      <c r="K1044" s="18"/>
      <c r="L1044" s="10"/>
      <c r="M1044" s="18"/>
      <c r="N1044" s="10"/>
      <c r="O1044" s="18"/>
      <c r="P1044" s="18"/>
      <c r="Q1044" s="18"/>
      <c r="R1044" s="18"/>
      <c r="S1044" s="18"/>
    </row>
    <row r="1045" spans="1:19" x14ac:dyDescent="0.25">
      <c r="A1045" s="9" t="s">
        <v>170</v>
      </c>
      <c r="B1045" s="17" t="s">
        <v>244</v>
      </c>
      <c r="C1045" s="18">
        <f t="shared" si="71"/>
        <v>2441490.2799999998</v>
      </c>
      <c r="D1045" s="18">
        <v>0</v>
      </c>
      <c r="E1045" s="18"/>
      <c r="F1045" s="18">
        <v>2441490.2799999998</v>
      </c>
      <c r="G1045" s="18"/>
      <c r="H1045" s="18"/>
      <c r="I1045" s="18"/>
      <c r="J1045" s="18"/>
      <c r="K1045" s="18"/>
      <c r="L1045" s="10"/>
      <c r="M1045" s="18"/>
      <c r="N1045" s="10"/>
      <c r="O1045" s="18"/>
      <c r="P1045" s="18"/>
      <c r="Q1045" s="18"/>
      <c r="R1045" s="18"/>
      <c r="S1045" s="18"/>
    </row>
    <row r="1046" spans="1:19" x14ac:dyDescent="0.25">
      <c r="A1046" s="9" t="s">
        <v>172</v>
      </c>
      <c r="B1046" s="17" t="s">
        <v>246</v>
      </c>
      <c r="C1046" s="18">
        <f t="shared" si="71"/>
        <v>5148385.4000000004</v>
      </c>
      <c r="D1046" s="18">
        <v>0</v>
      </c>
      <c r="E1046" s="18"/>
      <c r="F1046" s="18"/>
      <c r="G1046" s="18"/>
      <c r="H1046" s="18"/>
      <c r="I1046" s="18"/>
      <c r="J1046" s="18"/>
      <c r="K1046" s="18"/>
      <c r="L1046" s="10"/>
      <c r="M1046" s="18"/>
      <c r="N1046" s="10" t="s">
        <v>552</v>
      </c>
      <c r="O1046" s="18">
        <v>5148385.4000000004</v>
      </c>
      <c r="P1046" s="18"/>
      <c r="Q1046" s="18"/>
      <c r="R1046" s="18"/>
      <c r="S1046" s="18"/>
    </row>
    <row r="1047" spans="1:19" x14ac:dyDescent="0.25">
      <c r="A1047" s="9" t="s">
        <v>174</v>
      </c>
      <c r="B1047" s="17" t="s">
        <v>248</v>
      </c>
      <c r="C1047" s="18">
        <f t="shared" si="71"/>
        <v>3265678.87</v>
      </c>
      <c r="D1047" s="18">
        <v>0</v>
      </c>
      <c r="E1047" s="18"/>
      <c r="F1047" s="18">
        <v>3265678.87</v>
      </c>
      <c r="G1047" s="18"/>
      <c r="H1047" s="18"/>
      <c r="I1047" s="18"/>
      <c r="J1047" s="18"/>
      <c r="K1047" s="18"/>
      <c r="L1047" s="10"/>
      <c r="M1047" s="18"/>
      <c r="N1047" s="10"/>
      <c r="O1047" s="18"/>
      <c r="P1047" s="18"/>
      <c r="Q1047" s="18"/>
      <c r="R1047" s="18"/>
      <c r="S1047" s="18"/>
    </row>
    <row r="1048" spans="1:19" x14ac:dyDescent="0.25">
      <c r="A1048" s="9" t="s">
        <v>176</v>
      </c>
      <c r="B1048" s="17" t="s">
        <v>250</v>
      </c>
      <c r="C1048" s="18">
        <f t="shared" si="71"/>
        <v>8142901</v>
      </c>
      <c r="D1048" s="18">
        <v>0</v>
      </c>
      <c r="E1048" s="18"/>
      <c r="F1048" s="18"/>
      <c r="G1048" s="18"/>
      <c r="H1048" s="18"/>
      <c r="I1048" s="18"/>
      <c r="J1048" s="18"/>
      <c r="K1048" s="18"/>
      <c r="L1048" s="10"/>
      <c r="M1048" s="18"/>
      <c r="N1048" s="10" t="s">
        <v>552</v>
      </c>
      <c r="O1048" s="18">
        <v>8142901</v>
      </c>
      <c r="P1048" s="18"/>
      <c r="Q1048" s="18"/>
      <c r="R1048" s="18"/>
      <c r="S1048" s="18"/>
    </row>
    <row r="1049" spans="1:19" x14ac:dyDescent="0.25">
      <c r="A1049" s="9" t="s">
        <v>178</v>
      </c>
      <c r="B1049" s="17" t="s">
        <v>252</v>
      </c>
      <c r="C1049" s="18">
        <f t="shared" si="71"/>
        <v>2441490.2799999998</v>
      </c>
      <c r="D1049" s="18">
        <v>0</v>
      </c>
      <c r="E1049" s="18"/>
      <c r="F1049" s="18">
        <v>2441490.2799999998</v>
      </c>
      <c r="G1049" s="18"/>
      <c r="H1049" s="18"/>
      <c r="I1049" s="18"/>
      <c r="J1049" s="18"/>
      <c r="K1049" s="18"/>
      <c r="L1049" s="10"/>
      <c r="M1049" s="18"/>
      <c r="N1049" s="10"/>
      <c r="O1049" s="18"/>
      <c r="P1049" s="18"/>
      <c r="Q1049" s="18"/>
      <c r="R1049" s="18"/>
      <c r="S1049" s="18"/>
    </row>
    <row r="1050" spans="1:19" x14ac:dyDescent="0.25">
      <c r="A1050" s="9" t="s">
        <v>180</v>
      </c>
      <c r="B1050" s="17" t="s">
        <v>254</v>
      </c>
      <c r="C1050" s="18">
        <f t="shared" si="71"/>
        <v>4801238.54</v>
      </c>
      <c r="D1050" s="18">
        <v>0</v>
      </c>
      <c r="E1050" s="18"/>
      <c r="F1050" s="18"/>
      <c r="G1050" s="18"/>
      <c r="H1050" s="18"/>
      <c r="I1050" s="18"/>
      <c r="J1050" s="18"/>
      <c r="K1050" s="18"/>
      <c r="L1050" s="10"/>
      <c r="M1050" s="18"/>
      <c r="N1050" s="10" t="s">
        <v>552</v>
      </c>
      <c r="O1050" s="18">
        <v>4801238.54</v>
      </c>
      <c r="P1050" s="18"/>
      <c r="Q1050" s="18"/>
      <c r="R1050" s="18"/>
      <c r="S1050" s="18"/>
    </row>
    <row r="1051" spans="1:19" x14ac:dyDescent="0.25">
      <c r="A1051" s="9" t="s">
        <v>182</v>
      </c>
      <c r="B1051" s="17" t="s">
        <v>256</v>
      </c>
      <c r="C1051" s="18">
        <f t="shared" si="71"/>
        <v>12292993.939999999</v>
      </c>
      <c r="D1051" s="18">
        <v>0</v>
      </c>
      <c r="E1051" s="18"/>
      <c r="F1051" s="18"/>
      <c r="G1051" s="18"/>
      <c r="H1051" s="18"/>
      <c r="I1051" s="18"/>
      <c r="J1051" s="18"/>
      <c r="K1051" s="18"/>
      <c r="L1051" s="10"/>
      <c r="M1051" s="18"/>
      <c r="N1051" s="10" t="s">
        <v>552</v>
      </c>
      <c r="O1051" s="18">
        <v>5034414.9400000004</v>
      </c>
      <c r="P1051" s="18"/>
      <c r="Q1051" s="18">
        <v>7258579</v>
      </c>
      <c r="R1051" s="18"/>
      <c r="S1051" s="18"/>
    </row>
    <row r="1052" spans="1:19" x14ac:dyDescent="0.25">
      <c r="A1052" s="9"/>
      <c r="B1052" s="33" t="s">
        <v>2080</v>
      </c>
      <c r="C1052" s="18">
        <f>ROUND(D1052+E1052+F1052+G1052+H1052+I1052+J1052+K1052+M1052+O1052+P1052+Q1052+R1052+S1052,2)</f>
        <v>301052182.95999998</v>
      </c>
      <c r="D1052" s="18">
        <f t="shared" ref="D1052:S1052" si="72">SUM(D1024:D1051)</f>
        <v>77326.61</v>
      </c>
      <c r="E1052" s="18">
        <f t="shared" si="72"/>
        <v>88946</v>
      </c>
      <c r="F1052" s="18">
        <f t="shared" si="72"/>
        <v>32069057.460000001</v>
      </c>
      <c r="G1052" s="18">
        <f t="shared" si="72"/>
        <v>5675006.71</v>
      </c>
      <c r="H1052" s="18">
        <f t="shared" si="72"/>
        <v>6855912.2300000004</v>
      </c>
      <c r="I1052" s="18">
        <f t="shared" si="72"/>
        <v>3085037.2600000002</v>
      </c>
      <c r="J1052" s="18">
        <f t="shared" si="72"/>
        <v>5183662.4799999995</v>
      </c>
      <c r="K1052" s="18">
        <f t="shared" si="72"/>
        <v>0</v>
      </c>
      <c r="L1052" s="10">
        <f t="shared" si="72"/>
        <v>6</v>
      </c>
      <c r="M1052" s="18">
        <f t="shared" si="72"/>
        <v>17035868.57</v>
      </c>
      <c r="N1052" s="18" t="s">
        <v>42</v>
      </c>
      <c r="O1052" s="18">
        <f t="shared" si="72"/>
        <v>113057573.09999999</v>
      </c>
      <c r="P1052" s="18">
        <f t="shared" si="72"/>
        <v>17368845.690000001</v>
      </c>
      <c r="Q1052" s="18">
        <f t="shared" si="72"/>
        <v>100554946.84999999</v>
      </c>
      <c r="R1052" s="18">
        <f t="shared" si="72"/>
        <v>0</v>
      </c>
      <c r="S1052" s="18">
        <f t="shared" si="72"/>
        <v>0</v>
      </c>
    </row>
    <row r="1053" spans="1:19" x14ac:dyDescent="0.25">
      <c r="A1053" s="9"/>
      <c r="B1053" s="46" t="s">
        <v>258</v>
      </c>
      <c r="C1053" s="19"/>
      <c r="D1053" s="13"/>
      <c r="E1053" s="13"/>
      <c r="F1053" s="13"/>
      <c r="G1053" s="13"/>
      <c r="H1053" s="13"/>
      <c r="I1053" s="13"/>
      <c r="J1053" s="13"/>
      <c r="K1053" s="13"/>
      <c r="L1053" s="14"/>
      <c r="M1053" s="13"/>
      <c r="N1053" s="14"/>
      <c r="O1053" s="13"/>
      <c r="P1053" s="13"/>
      <c r="Q1053" s="13"/>
      <c r="R1053" s="13"/>
      <c r="S1053" s="13"/>
    </row>
    <row r="1054" spans="1:19" x14ac:dyDescent="0.25">
      <c r="A1054" s="9" t="s">
        <v>184</v>
      </c>
      <c r="B1054" s="17" t="s">
        <v>262</v>
      </c>
      <c r="C1054" s="18">
        <f t="shared" ref="C1054:C1065" si="73">ROUNDUP(SUM(D1054+E1054+F1054+G1054+H1054+I1054+J1054+K1054+M1054+O1054+P1054+Q1054+R1054+S1054),2)</f>
        <v>47590622.270000003</v>
      </c>
      <c r="D1054" s="18"/>
      <c r="E1054" s="18"/>
      <c r="F1054" s="18"/>
      <c r="G1054" s="18"/>
      <c r="H1054" s="18"/>
      <c r="I1054" s="18"/>
      <c r="J1054" s="18"/>
      <c r="K1054" s="18"/>
      <c r="L1054" s="10"/>
      <c r="M1054" s="18"/>
      <c r="N1054" s="10" t="s">
        <v>552</v>
      </c>
      <c r="O1054" s="18">
        <v>18051215.140000001</v>
      </c>
      <c r="P1054" s="18">
        <v>10316444.699999999</v>
      </c>
      <c r="Q1054" s="18">
        <v>19222962.43</v>
      </c>
      <c r="R1054" s="18"/>
      <c r="S1054" s="18"/>
    </row>
    <row r="1055" spans="1:19" x14ac:dyDescent="0.25">
      <c r="A1055" s="9" t="s">
        <v>186</v>
      </c>
      <c r="B1055" s="17" t="s">
        <v>264</v>
      </c>
      <c r="C1055" s="18">
        <f t="shared" si="73"/>
        <v>14471049.83</v>
      </c>
      <c r="D1055" s="18">
        <v>300278.64</v>
      </c>
      <c r="E1055" s="18"/>
      <c r="F1055" s="18"/>
      <c r="G1055" s="18"/>
      <c r="H1055" s="18"/>
      <c r="I1055" s="18"/>
      <c r="J1055" s="18"/>
      <c r="K1055" s="18"/>
      <c r="L1055" s="10"/>
      <c r="M1055" s="18"/>
      <c r="N1055" s="10" t="s">
        <v>552</v>
      </c>
      <c r="O1055" s="18">
        <v>14170771.189999999</v>
      </c>
      <c r="P1055" s="18"/>
      <c r="Q1055" s="18"/>
      <c r="R1055" s="18"/>
      <c r="S1055" s="18"/>
    </row>
    <row r="1056" spans="1:19" x14ac:dyDescent="0.25">
      <c r="A1056" s="9" t="s">
        <v>188</v>
      </c>
      <c r="B1056" s="17" t="s">
        <v>266</v>
      </c>
      <c r="C1056" s="18">
        <f t="shared" si="73"/>
        <v>17417255.289999999</v>
      </c>
      <c r="D1056" s="18">
        <v>361413.29</v>
      </c>
      <c r="E1056" s="18"/>
      <c r="F1056" s="18"/>
      <c r="G1056" s="18"/>
      <c r="H1056" s="18"/>
      <c r="I1056" s="18"/>
      <c r="J1056" s="18"/>
      <c r="K1056" s="18"/>
      <c r="L1056" s="10"/>
      <c r="M1056" s="18"/>
      <c r="N1056" s="10" t="s">
        <v>552</v>
      </c>
      <c r="O1056" s="18">
        <v>17055842</v>
      </c>
      <c r="P1056" s="18"/>
      <c r="Q1056" s="18"/>
      <c r="R1056" s="18"/>
      <c r="S1056" s="18"/>
    </row>
    <row r="1057" spans="1:19" x14ac:dyDescent="0.25">
      <c r="A1057" s="9" t="s">
        <v>190</v>
      </c>
      <c r="B1057" s="17" t="s">
        <v>272</v>
      </c>
      <c r="C1057" s="18">
        <f t="shared" si="73"/>
        <v>35552906.689999998</v>
      </c>
      <c r="D1057" s="18"/>
      <c r="E1057" s="18"/>
      <c r="F1057" s="18">
        <v>3582300.75</v>
      </c>
      <c r="G1057" s="18">
        <v>7349561.6600000001</v>
      </c>
      <c r="H1057" s="18"/>
      <c r="I1057" s="18"/>
      <c r="J1057" s="18">
        <v>1450805.64</v>
      </c>
      <c r="K1057" s="18"/>
      <c r="L1057" s="10"/>
      <c r="M1057" s="18"/>
      <c r="N1057" s="10" t="s">
        <v>552</v>
      </c>
      <c r="O1057" s="18">
        <v>15032941.039999999</v>
      </c>
      <c r="P1057" s="18">
        <v>4941360.82</v>
      </c>
      <c r="Q1057" s="18">
        <v>3195936.78</v>
      </c>
      <c r="R1057" s="18"/>
      <c r="S1057" s="18"/>
    </row>
    <row r="1058" spans="1:19" x14ac:dyDescent="0.25">
      <c r="A1058" s="9" t="s">
        <v>192</v>
      </c>
      <c r="B1058" s="17" t="s">
        <v>268</v>
      </c>
      <c r="C1058" s="18">
        <f t="shared" si="73"/>
        <v>53894988.649999999</v>
      </c>
      <c r="D1058" s="18">
        <v>968553.76</v>
      </c>
      <c r="E1058" s="18"/>
      <c r="F1058" s="18"/>
      <c r="G1058" s="18"/>
      <c r="H1058" s="18"/>
      <c r="I1058" s="18"/>
      <c r="J1058" s="18"/>
      <c r="K1058" s="18"/>
      <c r="L1058" s="10"/>
      <c r="M1058" s="18"/>
      <c r="N1058" s="10" t="s">
        <v>552</v>
      </c>
      <c r="O1058" s="18">
        <v>20717644.280000001</v>
      </c>
      <c r="P1058" s="18">
        <v>12083544.359999999</v>
      </c>
      <c r="Q1058" s="18">
        <v>20125246.25</v>
      </c>
      <c r="R1058" s="18"/>
      <c r="S1058" s="18"/>
    </row>
    <row r="1059" spans="1:19" x14ac:dyDescent="0.25">
      <c r="A1059" s="9" t="s">
        <v>194</v>
      </c>
      <c r="B1059" s="17" t="s">
        <v>270</v>
      </c>
      <c r="C1059" s="18">
        <f t="shared" si="73"/>
        <v>18649990.300000001</v>
      </c>
      <c r="D1059" s="18"/>
      <c r="E1059" s="18"/>
      <c r="F1059" s="18"/>
      <c r="G1059" s="18"/>
      <c r="H1059" s="18"/>
      <c r="I1059" s="18"/>
      <c r="J1059" s="18"/>
      <c r="K1059" s="18"/>
      <c r="L1059" s="10"/>
      <c r="M1059" s="18"/>
      <c r="N1059" s="10" t="s">
        <v>552</v>
      </c>
      <c r="O1059" s="18">
        <v>18649990.300000001</v>
      </c>
      <c r="P1059" s="18"/>
      <c r="Q1059" s="18"/>
      <c r="R1059" s="18"/>
      <c r="S1059" s="18"/>
    </row>
    <row r="1060" spans="1:19" x14ac:dyDescent="0.25">
      <c r="A1060" s="9" t="s">
        <v>198</v>
      </c>
      <c r="B1060" s="17" t="s">
        <v>1902</v>
      </c>
      <c r="C1060" s="18">
        <f t="shared" si="73"/>
        <v>8976000</v>
      </c>
      <c r="D1060" s="18">
        <v>186000</v>
      </c>
      <c r="E1060" s="18">
        <v>150000</v>
      </c>
      <c r="F1060" s="18"/>
      <c r="G1060" s="18"/>
      <c r="H1060" s="18"/>
      <c r="I1060" s="18"/>
      <c r="J1060" s="18"/>
      <c r="K1060" s="18"/>
      <c r="L1060" s="10">
        <v>3</v>
      </c>
      <c r="M1060" s="18">
        <v>8640000</v>
      </c>
      <c r="N1060" s="10"/>
      <c r="O1060" s="18"/>
      <c r="P1060" s="18"/>
      <c r="Q1060" s="18"/>
      <c r="R1060" s="18"/>
      <c r="S1060" s="18"/>
    </row>
    <row r="1061" spans="1:19" x14ac:dyDescent="0.25">
      <c r="A1061" s="9" t="s">
        <v>200</v>
      </c>
      <c r="B1061" s="17" t="s">
        <v>274</v>
      </c>
      <c r="C1061" s="18">
        <f t="shared" si="73"/>
        <v>41195832.689999998</v>
      </c>
      <c r="D1061" s="18"/>
      <c r="E1061" s="18"/>
      <c r="F1061" s="18"/>
      <c r="G1061" s="18"/>
      <c r="H1061" s="18"/>
      <c r="I1061" s="18"/>
      <c r="J1061" s="18">
        <v>3667239.49</v>
      </c>
      <c r="K1061" s="18"/>
      <c r="L1061" s="10"/>
      <c r="M1061" s="18"/>
      <c r="N1061" s="10" t="s">
        <v>552</v>
      </c>
      <c r="O1061" s="18">
        <v>17596111.27</v>
      </c>
      <c r="P1061" s="18"/>
      <c r="Q1061" s="18">
        <v>19932481.93</v>
      </c>
      <c r="R1061" s="18"/>
      <c r="S1061" s="18"/>
    </row>
    <row r="1062" spans="1:19" x14ac:dyDescent="0.25">
      <c r="A1062" s="9" t="s">
        <v>202</v>
      </c>
      <c r="B1062" s="17" t="s">
        <v>276</v>
      </c>
      <c r="C1062" s="18">
        <f t="shared" si="73"/>
        <v>24367415.390000001</v>
      </c>
      <c r="D1062" s="18"/>
      <c r="E1062" s="18"/>
      <c r="F1062" s="18">
        <v>3295502.01</v>
      </c>
      <c r="G1062" s="18">
        <v>5818664.46</v>
      </c>
      <c r="H1062" s="18">
        <v>2553172.17</v>
      </c>
      <c r="I1062" s="18">
        <v>461002.58</v>
      </c>
      <c r="J1062" s="18">
        <v>448454.43</v>
      </c>
      <c r="K1062" s="18"/>
      <c r="L1062" s="10"/>
      <c r="M1062" s="18"/>
      <c r="N1062" s="10" t="s">
        <v>552</v>
      </c>
      <c r="O1062" s="18">
        <v>9300371.9199999999</v>
      </c>
      <c r="P1062" s="18"/>
      <c r="Q1062" s="18">
        <v>2490247.8199999998</v>
      </c>
      <c r="R1062" s="18"/>
      <c r="S1062" s="18"/>
    </row>
    <row r="1063" spans="1:19" x14ac:dyDescent="0.25">
      <c r="A1063" s="9" t="s">
        <v>204</v>
      </c>
      <c r="B1063" s="17" t="s">
        <v>278</v>
      </c>
      <c r="C1063" s="18">
        <f t="shared" si="73"/>
        <v>66923624.82</v>
      </c>
      <c r="D1063" s="18">
        <v>1202675.3700000001</v>
      </c>
      <c r="E1063" s="18"/>
      <c r="F1063" s="18">
        <v>7233140.4400000004</v>
      </c>
      <c r="G1063" s="18">
        <v>9300427.4000000004</v>
      </c>
      <c r="H1063" s="18"/>
      <c r="I1063" s="18"/>
      <c r="J1063" s="18">
        <v>2277721.98</v>
      </c>
      <c r="K1063" s="18"/>
      <c r="L1063" s="10"/>
      <c r="M1063" s="18"/>
      <c r="N1063" s="10" t="s">
        <v>552</v>
      </c>
      <c r="O1063" s="18">
        <v>17551157.359999999</v>
      </c>
      <c r="P1063" s="18">
        <v>10184616.5</v>
      </c>
      <c r="Q1063" s="18">
        <v>19173885.77</v>
      </c>
      <c r="R1063" s="18"/>
      <c r="S1063" s="18"/>
    </row>
    <row r="1064" spans="1:19" x14ac:dyDescent="0.25">
      <c r="A1064" s="9" t="s">
        <v>206</v>
      </c>
      <c r="B1064" s="17" t="s">
        <v>280</v>
      </c>
      <c r="C1064" s="18">
        <f t="shared" si="73"/>
        <v>17492083.780000001</v>
      </c>
      <c r="D1064" s="18">
        <v>362966.01</v>
      </c>
      <c r="E1064" s="18"/>
      <c r="F1064" s="18"/>
      <c r="G1064" s="18"/>
      <c r="H1064" s="18"/>
      <c r="I1064" s="18"/>
      <c r="J1064" s="18"/>
      <c r="K1064" s="18"/>
      <c r="L1064" s="10"/>
      <c r="M1064" s="18"/>
      <c r="N1064" s="10" t="s">
        <v>552</v>
      </c>
      <c r="O1064" s="18">
        <v>17129117.77</v>
      </c>
      <c r="P1064" s="18"/>
      <c r="Q1064" s="18"/>
      <c r="R1064" s="18"/>
      <c r="S1064" s="18"/>
    </row>
    <row r="1065" spans="1:19" x14ac:dyDescent="0.25">
      <c r="A1065" s="9" t="s">
        <v>208</v>
      </c>
      <c r="B1065" s="17" t="s">
        <v>282</v>
      </c>
      <c r="C1065" s="18">
        <f t="shared" si="73"/>
        <v>28859505.09</v>
      </c>
      <c r="D1065" s="18"/>
      <c r="E1065" s="18"/>
      <c r="F1065" s="18">
        <v>4480271.5199999996</v>
      </c>
      <c r="G1065" s="18">
        <v>7423199.3899999997</v>
      </c>
      <c r="H1065" s="18">
        <v>2495648.5099999998</v>
      </c>
      <c r="I1065" s="18">
        <v>1221660.78</v>
      </c>
      <c r="J1065" s="18">
        <v>1271600.55</v>
      </c>
      <c r="K1065" s="18"/>
      <c r="L1065" s="10"/>
      <c r="M1065" s="18"/>
      <c r="N1065" s="10"/>
      <c r="O1065" s="18"/>
      <c r="P1065" s="18">
        <v>4128186.48</v>
      </c>
      <c r="Q1065" s="18">
        <v>7838937.8600000003</v>
      </c>
      <c r="R1065" s="18"/>
      <c r="S1065" s="18"/>
    </row>
    <row r="1066" spans="1:19" x14ac:dyDescent="0.25">
      <c r="A1066" s="9"/>
      <c r="B1066" s="33" t="s">
        <v>1903</v>
      </c>
      <c r="C1066" s="18">
        <f>ROUND(D1066+E1066+F1066+G1066+H1066+I1066+J1066+K1066+M1066+O1066+P1066+Q1066+R1066+S1066,2)</f>
        <v>375391274.80000001</v>
      </c>
      <c r="D1066" s="18">
        <f t="shared" ref="D1066:S1066" si="74">SUM(D1054:D1065)</f>
        <v>3381887.0700000003</v>
      </c>
      <c r="E1066" s="18">
        <f t="shared" si="74"/>
        <v>150000</v>
      </c>
      <c r="F1066" s="18">
        <f t="shared" si="74"/>
        <v>18591214.719999999</v>
      </c>
      <c r="G1066" s="18">
        <f t="shared" si="74"/>
        <v>29891852.910000004</v>
      </c>
      <c r="H1066" s="18">
        <f t="shared" si="74"/>
        <v>5048820.68</v>
      </c>
      <c r="I1066" s="18">
        <f t="shared" si="74"/>
        <v>1682663.36</v>
      </c>
      <c r="J1066" s="18">
        <f t="shared" si="74"/>
        <v>9115822.0899999999</v>
      </c>
      <c r="K1066" s="18">
        <f t="shared" si="74"/>
        <v>0</v>
      </c>
      <c r="L1066" s="10">
        <f t="shared" si="74"/>
        <v>3</v>
      </c>
      <c r="M1066" s="18">
        <f t="shared" si="74"/>
        <v>8640000</v>
      </c>
      <c r="N1066" s="18" t="s">
        <v>42</v>
      </c>
      <c r="O1066" s="18">
        <f t="shared" si="74"/>
        <v>165255162.27000001</v>
      </c>
      <c r="P1066" s="18">
        <f t="shared" si="74"/>
        <v>41654152.859999992</v>
      </c>
      <c r="Q1066" s="18">
        <f t="shared" si="74"/>
        <v>91979698.840000004</v>
      </c>
      <c r="R1066" s="18">
        <f t="shared" si="74"/>
        <v>0</v>
      </c>
      <c r="S1066" s="18">
        <f t="shared" si="74"/>
        <v>0</v>
      </c>
    </row>
    <row r="1067" spans="1:19" x14ac:dyDescent="0.25">
      <c r="A1067" s="9"/>
      <c r="B1067" s="46" t="s">
        <v>288</v>
      </c>
      <c r="C1067" s="19"/>
      <c r="D1067" s="13"/>
      <c r="E1067" s="13"/>
      <c r="F1067" s="13"/>
      <c r="G1067" s="13"/>
      <c r="H1067" s="13"/>
      <c r="I1067" s="13"/>
      <c r="J1067" s="13"/>
      <c r="K1067" s="13"/>
      <c r="L1067" s="14"/>
      <c r="M1067" s="13"/>
      <c r="N1067" s="14"/>
      <c r="O1067" s="13"/>
      <c r="P1067" s="13"/>
      <c r="Q1067" s="13"/>
      <c r="R1067" s="13"/>
      <c r="S1067" s="13"/>
    </row>
    <row r="1068" spans="1:19" x14ac:dyDescent="0.25">
      <c r="A1068" s="9" t="s">
        <v>210</v>
      </c>
      <c r="B1068" s="17" t="s">
        <v>296</v>
      </c>
      <c r="C1068" s="18">
        <f t="shared" ref="C1068:C1099" si="75">ROUNDUP(SUM(D1068+E1068+F1068+G1068+H1068+I1068+J1068+K1068+M1068+O1068+P1068+Q1068+R1068+S1068),2)</f>
        <v>2714662.02</v>
      </c>
      <c r="D1068" s="18"/>
      <c r="E1068" s="18"/>
      <c r="F1068" s="18">
        <v>2714662.02</v>
      </c>
      <c r="G1068" s="18"/>
      <c r="H1068" s="18"/>
      <c r="I1068" s="18"/>
      <c r="J1068" s="18"/>
      <c r="K1068" s="18"/>
      <c r="L1068" s="10"/>
      <c r="M1068" s="18"/>
      <c r="N1068" s="10"/>
      <c r="O1068" s="18"/>
      <c r="P1068" s="18"/>
      <c r="Q1068" s="18"/>
      <c r="R1068" s="18"/>
      <c r="S1068" s="18"/>
    </row>
    <row r="1069" spans="1:19" x14ac:dyDescent="0.25">
      <c r="A1069" s="9" t="s">
        <v>212</v>
      </c>
      <c r="B1069" s="17" t="s">
        <v>312</v>
      </c>
      <c r="C1069" s="18">
        <f t="shared" si="75"/>
        <v>3336230.11</v>
      </c>
      <c r="D1069" s="18"/>
      <c r="E1069" s="18"/>
      <c r="F1069" s="18">
        <v>3336230.11</v>
      </c>
      <c r="G1069" s="18"/>
      <c r="H1069" s="18"/>
      <c r="I1069" s="18"/>
      <c r="J1069" s="18"/>
      <c r="K1069" s="18"/>
      <c r="L1069" s="10"/>
      <c r="M1069" s="18"/>
      <c r="N1069" s="10"/>
      <c r="O1069" s="18"/>
      <c r="P1069" s="18"/>
      <c r="Q1069" s="18"/>
      <c r="R1069" s="18"/>
      <c r="S1069" s="18"/>
    </row>
    <row r="1070" spans="1:19" x14ac:dyDescent="0.25">
      <c r="A1070" s="9" t="s">
        <v>214</v>
      </c>
      <c r="B1070" s="17" t="s">
        <v>314</v>
      </c>
      <c r="C1070" s="18">
        <f t="shared" si="75"/>
        <v>5057601.4000000004</v>
      </c>
      <c r="D1070" s="18"/>
      <c r="E1070" s="18"/>
      <c r="F1070" s="18">
        <v>5057601.4000000004</v>
      </c>
      <c r="G1070" s="18"/>
      <c r="H1070" s="18"/>
      <c r="I1070" s="18"/>
      <c r="J1070" s="18"/>
      <c r="K1070" s="18"/>
      <c r="L1070" s="10"/>
      <c r="M1070" s="18"/>
      <c r="N1070" s="10"/>
      <c r="O1070" s="18"/>
      <c r="P1070" s="18"/>
      <c r="Q1070" s="18"/>
      <c r="R1070" s="18"/>
      <c r="S1070" s="18"/>
    </row>
    <row r="1071" spans="1:19" x14ac:dyDescent="0.25">
      <c r="A1071" s="9" t="s">
        <v>216</v>
      </c>
      <c r="B1071" s="17" t="s">
        <v>316</v>
      </c>
      <c r="C1071" s="18">
        <f t="shared" si="75"/>
        <v>4706092.6900000004</v>
      </c>
      <c r="D1071" s="18"/>
      <c r="E1071" s="18"/>
      <c r="F1071" s="18">
        <v>4706092.6900000004</v>
      </c>
      <c r="G1071" s="18"/>
      <c r="H1071" s="18"/>
      <c r="I1071" s="18"/>
      <c r="J1071" s="18"/>
      <c r="K1071" s="18"/>
      <c r="L1071" s="10"/>
      <c r="M1071" s="18"/>
      <c r="N1071" s="10"/>
      <c r="O1071" s="18"/>
      <c r="P1071" s="18"/>
      <c r="Q1071" s="18"/>
      <c r="R1071" s="18"/>
      <c r="S1071" s="18"/>
    </row>
    <row r="1072" spans="1:19" x14ac:dyDescent="0.25">
      <c r="A1072" s="9" t="s">
        <v>218</v>
      </c>
      <c r="B1072" s="17" t="s">
        <v>318</v>
      </c>
      <c r="C1072" s="18">
        <f t="shared" si="75"/>
        <v>9476043.7799999993</v>
      </c>
      <c r="D1072" s="18"/>
      <c r="E1072" s="18"/>
      <c r="F1072" s="18">
        <v>4907187.79</v>
      </c>
      <c r="G1072" s="18"/>
      <c r="H1072" s="18"/>
      <c r="I1072" s="18"/>
      <c r="J1072" s="18"/>
      <c r="K1072" s="18"/>
      <c r="L1072" s="10"/>
      <c r="M1072" s="18"/>
      <c r="N1072" s="10"/>
      <c r="O1072" s="18"/>
      <c r="P1072" s="18">
        <v>4568855.99</v>
      </c>
      <c r="Q1072" s="18"/>
      <c r="R1072" s="18"/>
      <c r="S1072" s="18"/>
    </row>
    <row r="1073" spans="1:19" x14ac:dyDescent="0.25">
      <c r="A1073" s="9" t="s">
        <v>220</v>
      </c>
      <c r="B1073" s="17" t="s">
        <v>320</v>
      </c>
      <c r="C1073" s="18">
        <f t="shared" si="75"/>
        <v>7384728.7699999996</v>
      </c>
      <c r="D1073" s="18"/>
      <c r="E1073" s="18"/>
      <c r="F1073" s="18">
        <v>7384728.7699999996</v>
      </c>
      <c r="G1073" s="18"/>
      <c r="H1073" s="18"/>
      <c r="I1073" s="18"/>
      <c r="J1073" s="18"/>
      <c r="K1073" s="18"/>
      <c r="L1073" s="10"/>
      <c r="M1073" s="18"/>
      <c r="N1073" s="10"/>
      <c r="O1073" s="18"/>
      <c r="P1073" s="18"/>
      <c r="Q1073" s="18"/>
      <c r="R1073" s="18"/>
      <c r="S1073" s="18"/>
    </row>
    <row r="1074" spans="1:19" x14ac:dyDescent="0.25">
      <c r="A1074" s="9" t="s">
        <v>222</v>
      </c>
      <c r="B1074" s="17" t="s">
        <v>290</v>
      </c>
      <c r="C1074" s="18">
        <f t="shared" si="75"/>
        <v>16660562.939999999</v>
      </c>
      <c r="D1074" s="18"/>
      <c r="E1074" s="18"/>
      <c r="F1074" s="18"/>
      <c r="G1074" s="18"/>
      <c r="H1074" s="18"/>
      <c r="I1074" s="18"/>
      <c r="J1074" s="18"/>
      <c r="K1074" s="18"/>
      <c r="L1074" s="10"/>
      <c r="M1074" s="18"/>
      <c r="N1074" s="10"/>
      <c r="O1074" s="18"/>
      <c r="P1074" s="18"/>
      <c r="Q1074" s="18"/>
      <c r="R1074" s="18">
        <v>16660562.939999999</v>
      </c>
      <c r="S1074" s="18"/>
    </row>
    <row r="1075" spans="1:19" x14ac:dyDescent="0.25">
      <c r="A1075" s="9" t="s">
        <v>224</v>
      </c>
      <c r="B1075" s="17" t="s">
        <v>292</v>
      </c>
      <c r="C1075" s="18">
        <f t="shared" si="75"/>
        <v>3869502.24</v>
      </c>
      <c r="D1075" s="18"/>
      <c r="E1075" s="18"/>
      <c r="F1075" s="18">
        <v>3869502.24</v>
      </c>
      <c r="G1075" s="18"/>
      <c r="H1075" s="18"/>
      <c r="I1075" s="18"/>
      <c r="J1075" s="18"/>
      <c r="K1075" s="18"/>
      <c r="L1075" s="10"/>
      <c r="M1075" s="18"/>
      <c r="N1075" s="10"/>
      <c r="O1075" s="18"/>
      <c r="P1075" s="18"/>
      <c r="Q1075" s="18"/>
      <c r="R1075" s="18"/>
      <c r="S1075" s="18"/>
    </row>
    <row r="1076" spans="1:19" x14ac:dyDescent="0.25">
      <c r="A1076" s="9" t="s">
        <v>226</v>
      </c>
      <c r="B1076" s="17" t="s">
        <v>294</v>
      </c>
      <c r="C1076" s="18">
        <f t="shared" si="75"/>
        <v>2695907.53</v>
      </c>
      <c r="D1076" s="18"/>
      <c r="E1076" s="18"/>
      <c r="F1076" s="18">
        <v>2695907.53</v>
      </c>
      <c r="G1076" s="18"/>
      <c r="H1076" s="18"/>
      <c r="I1076" s="18"/>
      <c r="J1076" s="18"/>
      <c r="K1076" s="18"/>
      <c r="L1076" s="10"/>
      <c r="M1076" s="18"/>
      <c r="N1076" s="10"/>
      <c r="O1076" s="18"/>
      <c r="P1076" s="18"/>
      <c r="Q1076" s="18"/>
      <c r="R1076" s="18"/>
      <c r="S1076" s="18"/>
    </row>
    <row r="1077" spans="1:19" x14ac:dyDescent="0.25">
      <c r="A1077" s="9" t="s">
        <v>228</v>
      </c>
      <c r="B1077" s="17" t="s">
        <v>300</v>
      </c>
      <c r="C1077" s="18">
        <f t="shared" si="75"/>
        <v>5510680.6900000004</v>
      </c>
      <c r="D1077" s="18"/>
      <c r="E1077" s="18"/>
      <c r="F1077" s="18"/>
      <c r="G1077" s="18"/>
      <c r="H1077" s="18"/>
      <c r="I1077" s="18"/>
      <c r="J1077" s="18"/>
      <c r="K1077" s="18"/>
      <c r="L1077" s="10"/>
      <c r="M1077" s="18"/>
      <c r="N1077" s="10"/>
      <c r="O1077" s="18"/>
      <c r="P1077" s="18"/>
      <c r="Q1077" s="18">
        <v>5510680.6900000004</v>
      </c>
      <c r="R1077" s="18"/>
      <c r="S1077" s="18"/>
    </row>
    <row r="1078" spans="1:19" x14ac:dyDescent="0.25">
      <c r="A1078" s="9" t="s">
        <v>230</v>
      </c>
      <c r="B1078" s="17" t="s">
        <v>304</v>
      </c>
      <c r="C1078" s="18">
        <f t="shared" si="75"/>
        <v>2683311.35</v>
      </c>
      <c r="D1078" s="18"/>
      <c r="E1078" s="18"/>
      <c r="F1078" s="18">
        <v>2683311.35</v>
      </c>
      <c r="G1078" s="18"/>
      <c r="H1078" s="18"/>
      <c r="I1078" s="18"/>
      <c r="J1078" s="18"/>
      <c r="K1078" s="18"/>
      <c r="L1078" s="10"/>
      <c r="M1078" s="18"/>
      <c r="N1078" s="10"/>
      <c r="O1078" s="18"/>
      <c r="P1078" s="18"/>
      <c r="Q1078" s="18"/>
      <c r="R1078" s="18"/>
      <c r="S1078" s="18"/>
    </row>
    <row r="1079" spans="1:19" x14ac:dyDescent="0.25">
      <c r="A1079" s="9" t="s">
        <v>232</v>
      </c>
      <c r="B1079" s="17" t="s">
        <v>332</v>
      </c>
      <c r="C1079" s="18">
        <f t="shared" si="75"/>
        <v>26444868.260000002</v>
      </c>
      <c r="D1079" s="18"/>
      <c r="E1079" s="18"/>
      <c r="F1079" s="18"/>
      <c r="G1079" s="18"/>
      <c r="H1079" s="18"/>
      <c r="I1079" s="18"/>
      <c r="J1079" s="18"/>
      <c r="K1079" s="18"/>
      <c r="L1079" s="10"/>
      <c r="M1079" s="18"/>
      <c r="N1079" s="10" t="s">
        <v>552</v>
      </c>
      <c r="O1079" s="18">
        <v>14127818.41</v>
      </c>
      <c r="P1079" s="18"/>
      <c r="Q1079" s="18">
        <v>12317049.85</v>
      </c>
      <c r="R1079" s="18"/>
      <c r="S1079" s="18"/>
    </row>
    <row r="1080" spans="1:19" x14ac:dyDescent="0.25">
      <c r="A1080" s="9" t="s">
        <v>234</v>
      </c>
      <c r="B1080" s="17" t="s">
        <v>334</v>
      </c>
      <c r="C1080" s="18">
        <f t="shared" si="75"/>
        <v>13870874.73</v>
      </c>
      <c r="D1080" s="18"/>
      <c r="E1080" s="18"/>
      <c r="F1080" s="18"/>
      <c r="G1080" s="18"/>
      <c r="H1080" s="18"/>
      <c r="I1080" s="18"/>
      <c r="J1080" s="18"/>
      <c r="K1080" s="18"/>
      <c r="L1080" s="10"/>
      <c r="M1080" s="18"/>
      <c r="N1080" s="10" t="s">
        <v>552</v>
      </c>
      <c r="O1080" s="18">
        <v>6841411.2599999998</v>
      </c>
      <c r="P1080" s="18"/>
      <c r="Q1080" s="18">
        <v>7029463.4699999997</v>
      </c>
      <c r="R1080" s="18"/>
      <c r="S1080" s="18"/>
    </row>
    <row r="1081" spans="1:19" x14ac:dyDescent="0.25">
      <c r="A1081" s="9" t="s">
        <v>236</v>
      </c>
      <c r="B1081" s="17" t="s">
        <v>336</v>
      </c>
      <c r="C1081" s="18">
        <f t="shared" si="75"/>
        <v>13250196.02</v>
      </c>
      <c r="D1081" s="18"/>
      <c r="E1081" s="18"/>
      <c r="F1081" s="18"/>
      <c r="G1081" s="18"/>
      <c r="H1081" s="18"/>
      <c r="I1081" s="18"/>
      <c r="J1081" s="18"/>
      <c r="K1081" s="18"/>
      <c r="L1081" s="10"/>
      <c r="M1081" s="18"/>
      <c r="N1081" s="10" t="s">
        <v>552</v>
      </c>
      <c r="O1081" s="18">
        <v>6841411.2599999998</v>
      </c>
      <c r="P1081" s="18"/>
      <c r="Q1081" s="18">
        <v>6408784.7599999998</v>
      </c>
      <c r="R1081" s="18"/>
      <c r="S1081" s="18"/>
    </row>
    <row r="1082" spans="1:19" ht="15" customHeight="1" x14ac:dyDescent="0.25">
      <c r="A1082" s="9" t="s">
        <v>237</v>
      </c>
      <c r="B1082" s="17" t="s">
        <v>298</v>
      </c>
      <c r="C1082" s="18">
        <f t="shared" si="75"/>
        <v>9686251.4700000007</v>
      </c>
      <c r="D1082" s="18"/>
      <c r="E1082" s="18"/>
      <c r="F1082" s="18">
        <v>2679165.13</v>
      </c>
      <c r="G1082" s="18"/>
      <c r="H1082" s="18"/>
      <c r="I1082" s="18"/>
      <c r="J1082" s="18"/>
      <c r="K1082" s="18"/>
      <c r="L1082" s="10"/>
      <c r="M1082" s="18"/>
      <c r="N1082" s="10"/>
      <c r="O1082" s="18"/>
      <c r="P1082" s="18"/>
      <c r="Q1082" s="18">
        <v>7007086.3399999999</v>
      </c>
      <c r="R1082" s="18"/>
      <c r="S1082" s="18"/>
    </row>
    <row r="1083" spans="1:19" ht="15" customHeight="1" x14ac:dyDescent="0.25">
      <c r="A1083" s="9" t="s">
        <v>239</v>
      </c>
      <c r="B1083" s="17" t="s">
        <v>338</v>
      </c>
      <c r="C1083" s="18">
        <f t="shared" si="75"/>
        <v>25001409.649999999</v>
      </c>
      <c r="D1083" s="18"/>
      <c r="E1083" s="18"/>
      <c r="F1083" s="18"/>
      <c r="G1083" s="18"/>
      <c r="H1083" s="18"/>
      <c r="I1083" s="18"/>
      <c r="J1083" s="18"/>
      <c r="K1083" s="18"/>
      <c r="L1083" s="10"/>
      <c r="M1083" s="18"/>
      <c r="N1083" s="10" t="s">
        <v>552</v>
      </c>
      <c r="O1083" s="18">
        <v>13061851.32</v>
      </c>
      <c r="P1083" s="18"/>
      <c r="Q1083" s="18">
        <v>11939558.33</v>
      </c>
      <c r="R1083" s="18"/>
      <c r="S1083" s="18"/>
    </row>
    <row r="1084" spans="1:19" x14ac:dyDescent="0.25">
      <c r="A1084" s="9" t="s">
        <v>241</v>
      </c>
      <c r="B1084" s="17" t="s">
        <v>306</v>
      </c>
      <c r="C1084" s="18">
        <f t="shared" si="75"/>
        <v>3465298.62</v>
      </c>
      <c r="D1084" s="18"/>
      <c r="E1084" s="18"/>
      <c r="F1084" s="18">
        <v>3465298.62</v>
      </c>
      <c r="G1084" s="18"/>
      <c r="H1084" s="18"/>
      <c r="I1084" s="18"/>
      <c r="J1084" s="18"/>
      <c r="K1084" s="18"/>
      <c r="L1084" s="10"/>
      <c r="M1084" s="18"/>
      <c r="N1084" s="10"/>
      <c r="O1084" s="18"/>
      <c r="P1084" s="18"/>
      <c r="Q1084" s="18"/>
      <c r="R1084" s="18"/>
      <c r="S1084" s="18"/>
    </row>
    <row r="1085" spans="1:19" x14ac:dyDescent="0.25">
      <c r="A1085" s="9" t="s">
        <v>243</v>
      </c>
      <c r="B1085" s="17" t="s">
        <v>308</v>
      </c>
      <c r="C1085" s="18">
        <f t="shared" si="75"/>
        <v>23007247.420000002</v>
      </c>
      <c r="D1085" s="18"/>
      <c r="E1085" s="18"/>
      <c r="F1085" s="18">
        <v>3480429.9</v>
      </c>
      <c r="G1085" s="18"/>
      <c r="H1085" s="18"/>
      <c r="I1085" s="18"/>
      <c r="J1085" s="18">
        <v>1374942.3</v>
      </c>
      <c r="K1085" s="18"/>
      <c r="L1085" s="10"/>
      <c r="M1085" s="18"/>
      <c r="N1085" s="10"/>
      <c r="O1085" s="18"/>
      <c r="P1085" s="18"/>
      <c r="Q1085" s="18">
        <v>18151875.219999999</v>
      </c>
      <c r="R1085" s="18"/>
      <c r="S1085" s="18"/>
    </row>
    <row r="1086" spans="1:19" x14ac:dyDescent="0.25">
      <c r="A1086" s="9" t="s">
        <v>245</v>
      </c>
      <c r="B1086" s="17" t="s">
        <v>340</v>
      </c>
      <c r="C1086" s="18">
        <f t="shared" si="75"/>
        <v>7017795.46</v>
      </c>
      <c r="D1086" s="18"/>
      <c r="E1086" s="18"/>
      <c r="F1086" s="18"/>
      <c r="G1086" s="18"/>
      <c r="H1086" s="18"/>
      <c r="I1086" s="18"/>
      <c r="J1086" s="18"/>
      <c r="K1086" s="18"/>
      <c r="L1086" s="10"/>
      <c r="M1086" s="18"/>
      <c r="N1086" s="10" t="s">
        <v>552</v>
      </c>
      <c r="O1086" s="18">
        <v>7017795.46</v>
      </c>
      <c r="P1086" s="18"/>
      <c r="Q1086" s="18"/>
      <c r="R1086" s="18"/>
      <c r="S1086" s="18"/>
    </row>
    <row r="1087" spans="1:19" x14ac:dyDescent="0.25">
      <c r="A1087" s="9" t="s">
        <v>247</v>
      </c>
      <c r="B1087" s="17" t="s">
        <v>342</v>
      </c>
      <c r="C1087" s="18">
        <f t="shared" si="75"/>
        <v>7017795.46</v>
      </c>
      <c r="D1087" s="18"/>
      <c r="E1087" s="18"/>
      <c r="F1087" s="18"/>
      <c r="G1087" s="18"/>
      <c r="H1087" s="18"/>
      <c r="I1087" s="18"/>
      <c r="J1087" s="18"/>
      <c r="K1087" s="18"/>
      <c r="L1087" s="10"/>
      <c r="M1087" s="18"/>
      <c r="N1087" s="10" t="s">
        <v>552</v>
      </c>
      <c r="O1087" s="18">
        <v>7017795.46</v>
      </c>
      <c r="P1087" s="18"/>
      <c r="Q1087" s="18"/>
      <c r="R1087" s="18"/>
      <c r="S1087" s="18"/>
    </row>
    <row r="1088" spans="1:19" x14ac:dyDescent="0.25">
      <c r="A1088" s="9" t="s">
        <v>249</v>
      </c>
      <c r="B1088" s="17" t="s">
        <v>348</v>
      </c>
      <c r="C1088" s="18">
        <f t="shared" si="75"/>
        <v>33581685.710000001</v>
      </c>
      <c r="D1088" s="18"/>
      <c r="E1088" s="18"/>
      <c r="F1088" s="18"/>
      <c r="G1088" s="18"/>
      <c r="H1088" s="18"/>
      <c r="I1088" s="18"/>
      <c r="J1088" s="18"/>
      <c r="K1088" s="18"/>
      <c r="L1088" s="10"/>
      <c r="M1088" s="18"/>
      <c r="N1088" s="10" t="s">
        <v>552</v>
      </c>
      <c r="O1088" s="18">
        <v>16068278.9</v>
      </c>
      <c r="P1088" s="18"/>
      <c r="Q1088" s="18">
        <v>17513406.809999999</v>
      </c>
      <c r="R1088" s="18"/>
      <c r="S1088" s="18"/>
    </row>
    <row r="1089" spans="1:19" x14ac:dyDescent="0.25">
      <c r="A1089" s="9" t="s">
        <v>251</v>
      </c>
      <c r="B1089" s="17" t="s">
        <v>350</v>
      </c>
      <c r="C1089" s="18">
        <f t="shared" si="75"/>
        <v>13762200.08</v>
      </c>
      <c r="D1089" s="18"/>
      <c r="E1089" s="18"/>
      <c r="F1089" s="18"/>
      <c r="G1089" s="18"/>
      <c r="H1089" s="18"/>
      <c r="I1089" s="18"/>
      <c r="J1089" s="18"/>
      <c r="K1089" s="18"/>
      <c r="L1089" s="10"/>
      <c r="M1089" s="18"/>
      <c r="N1089" s="10" t="s">
        <v>552</v>
      </c>
      <c r="O1089" s="18">
        <v>6841411.2599999998</v>
      </c>
      <c r="P1089" s="18"/>
      <c r="Q1089" s="18">
        <v>6920788.8200000003</v>
      </c>
      <c r="R1089" s="18"/>
      <c r="S1089" s="18"/>
    </row>
    <row r="1090" spans="1:19" x14ac:dyDescent="0.25">
      <c r="A1090" s="9" t="s">
        <v>253</v>
      </c>
      <c r="B1090" s="17" t="s">
        <v>1904</v>
      </c>
      <c r="C1090" s="18">
        <f t="shared" si="75"/>
        <v>7389248.7800000003</v>
      </c>
      <c r="D1090" s="18">
        <v>145481.49</v>
      </c>
      <c r="E1090" s="18">
        <v>73589.09</v>
      </c>
      <c r="F1090" s="18"/>
      <c r="G1090" s="18"/>
      <c r="H1090" s="18"/>
      <c r="I1090" s="18"/>
      <c r="J1090" s="18"/>
      <c r="K1090" s="18"/>
      <c r="L1090" s="10">
        <v>2</v>
      </c>
      <c r="M1090" s="18">
        <v>7170178.2000000002</v>
      </c>
      <c r="N1090" s="10"/>
      <c r="O1090" s="18"/>
      <c r="P1090" s="18"/>
      <c r="Q1090" s="18"/>
      <c r="R1090" s="18"/>
      <c r="S1090" s="18"/>
    </row>
    <row r="1091" spans="1:19" ht="15" customHeight="1" x14ac:dyDescent="0.25">
      <c r="A1091" s="9" t="s">
        <v>255</v>
      </c>
      <c r="B1091" s="17" t="s">
        <v>1905</v>
      </c>
      <c r="C1091" s="18">
        <f t="shared" si="75"/>
        <v>5277901.12</v>
      </c>
      <c r="D1091" s="18">
        <v>103516.99</v>
      </c>
      <c r="E1091" s="18">
        <v>73824.679999999993</v>
      </c>
      <c r="F1091" s="18"/>
      <c r="G1091" s="18"/>
      <c r="H1091" s="18"/>
      <c r="I1091" s="18"/>
      <c r="J1091" s="18"/>
      <c r="K1091" s="18"/>
      <c r="L1091" s="10">
        <v>2</v>
      </c>
      <c r="M1091" s="18">
        <v>5100559.45</v>
      </c>
      <c r="N1091" s="10"/>
      <c r="O1091" s="18"/>
      <c r="P1091" s="18"/>
      <c r="Q1091" s="18"/>
      <c r="R1091" s="18"/>
      <c r="S1091" s="18"/>
    </row>
    <row r="1092" spans="1:19" x14ac:dyDescent="0.25">
      <c r="A1092" s="9" t="s">
        <v>259</v>
      </c>
      <c r="B1092" s="17" t="s">
        <v>1906</v>
      </c>
      <c r="C1092" s="18">
        <f t="shared" si="75"/>
        <v>5279422.72</v>
      </c>
      <c r="D1092" s="18">
        <v>103522.2</v>
      </c>
      <c r="E1092" s="18">
        <v>75341.070000000007</v>
      </c>
      <c r="F1092" s="18"/>
      <c r="G1092" s="18"/>
      <c r="H1092" s="18"/>
      <c r="I1092" s="18"/>
      <c r="J1092" s="18"/>
      <c r="K1092" s="18"/>
      <c r="L1092" s="10">
        <v>2</v>
      </c>
      <c r="M1092" s="18">
        <v>5100559.45</v>
      </c>
      <c r="N1092" s="10"/>
      <c r="O1092" s="18"/>
      <c r="P1092" s="18"/>
      <c r="Q1092" s="18"/>
      <c r="R1092" s="18"/>
      <c r="S1092" s="18"/>
    </row>
    <row r="1093" spans="1:19" x14ac:dyDescent="0.25">
      <c r="A1093" s="9" t="s">
        <v>261</v>
      </c>
      <c r="B1093" s="17" t="s">
        <v>1907</v>
      </c>
      <c r="C1093" s="18">
        <f t="shared" si="75"/>
        <v>11401496.66</v>
      </c>
      <c r="D1093" s="18"/>
      <c r="E1093" s="18"/>
      <c r="F1093" s="18"/>
      <c r="G1093" s="18"/>
      <c r="H1093" s="18"/>
      <c r="I1093" s="18"/>
      <c r="J1093" s="18"/>
      <c r="K1093" s="18"/>
      <c r="L1093" s="10"/>
      <c r="M1093" s="18"/>
      <c r="N1093" s="10" t="s">
        <v>883</v>
      </c>
      <c r="O1093" s="18">
        <v>11401496.66</v>
      </c>
      <c r="P1093" s="18"/>
      <c r="Q1093" s="18"/>
      <c r="R1093" s="18"/>
      <c r="S1093" s="18"/>
    </row>
    <row r="1094" spans="1:19" x14ac:dyDescent="0.25">
      <c r="A1094" s="9" t="s">
        <v>263</v>
      </c>
      <c r="B1094" s="17" t="s">
        <v>354</v>
      </c>
      <c r="C1094" s="18">
        <f t="shared" si="75"/>
        <v>8951811.9700000007</v>
      </c>
      <c r="D1094" s="18">
        <v>0</v>
      </c>
      <c r="E1094" s="18"/>
      <c r="F1094" s="18"/>
      <c r="G1094" s="18"/>
      <c r="H1094" s="18"/>
      <c r="I1094" s="18"/>
      <c r="J1094" s="18"/>
      <c r="K1094" s="18"/>
      <c r="L1094" s="10"/>
      <c r="M1094" s="18"/>
      <c r="N1094" s="10" t="s">
        <v>355</v>
      </c>
      <c r="O1094" s="18">
        <v>8951811.9700000007</v>
      </c>
      <c r="P1094" s="18"/>
      <c r="Q1094" s="18"/>
      <c r="R1094" s="18"/>
      <c r="S1094" s="18"/>
    </row>
    <row r="1095" spans="1:19" x14ac:dyDescent="0.25">
      <c r="A1095" s="9" t="s">
        <v>265</v>
      </c>
      <c r="B1095" s="17" t="s">
        <v>1908</v>
      </c>
      <c r="C1095" s="18">
        <f t="shared" si="75"/>
        <v>769752.54</v>
      </c>
      <c r="D1095" s="18"/>
      <c r="E1095" s="18"/>
      <c r="F1095" s="18"/>
      <c r="G1095" s="18"/>
      <c r="H1095" s="18"/>
      <c r="I1095" s="18"/>
      <c r="J1095" s="18"/>
      <c r="K1095" s="18"/>
      <c r="L1095" s="10"/>
      <c r="M1095" s="18"/>
      <c r="N1095" s="10"/>
      <c r="O1095" s="18"/>
      <c r="P1095" s="18"/>
      <c r="Q1095" s="18">
        <v>769752.54</v>
      </c>
      <c r="R1095" s="18"/>
      <c r="S1095" s="18"/>
    </row>
    <row r="1096" spans="1:19" x14ac:dyDescent="0.25">
      <c r="A1096" s="9" t="s">
        <v>267</v>
      </c>
      <c r="B1096" s="17" t="s">
        <v>363</v>
      </c>
      <c r="C1096" s="18">
        <f t="shared" si="75"/>
        <v>2391133.69</v>
      </c>
      <c r="D1096" s="18"/>
      <c r="E1096" s="18"/>
      <c r="F1096" s="18">
        <v>2391133.69</v>
      </c>
      <c r="G1096" s="18"/>
      <c r="H1096" s="18"/>
      <c r="I1096" s="18"/>
      <c r="J1096" s="18"/>
      <c r="K1096" s="18"/>
      <c r="L1096" s="10"/>
      <c r="M1096" s="18"/>
      <c r="N1096" s="10"/>
      <c r="O1096" s="18"/>
      <c r="P1096" s="18"/>
      <c r="Q1096" s="18"/>
      <c r="R1096" s="18"/>
      <c r="S1096" s="18"/>
    </row>
    <row r="1097" spans="1:19" x14ac:dyDescent="0.25">
      <c r="A1097" s="9" t="s">
        <v>269</v>
      </c>
      <c r="B1097" s="17" t="s">
        <v>369</v>
      </c>
      <c r="C1097" s="18">
        <f t="shared" si="75"/>
        <v>32437291.07</v>
      </c>
      <c r="D1097" s="18"/>
      <c r="E1097" s="18"/>
      <c r="F1097" s="18"/>
      <c r="G1097" s="18"/>
      <c r="H1097" s="18"/>
      <c r="I1097" s="18"/>
      <c r="J1097" s="18"/>
      <c r="K1097" s="18"/>
      <c r="L1097" s="10"/>
      <c r="M1097" s="18"/>
      <c r="N1097" s="10" t="s">
        <v>552</v>
      </c>
      <c r="O1097" s="18">
        <v>32437291.07</v>
      </c>
      <c r="P1097" s="18"/>
      <c r="Q1097" s="18"/>
      <c r="R1097" s="18"/>
      <c r="S1097" s="18"/>
    </row>
    <row r="1098" spans="1:19" x14ac:dyDescent="0.25">
      <c r="A1098" s="9" t="s">
        <v>271</v>
      </c>
      <c r="B1098" s="17" t="s">
        <v>379</v>
      </c>
      <c r="C1098" s="18">
        <f t="shared" si="75"/>
        <v>7867618.8899999997</v>
      </c>
      <c r="D1098" s="18"/>
      <c r="E1098" s="18">
        <v>185978.47</v>
      </c>
      <c r="F1098" s="18"/>
      <c r="G1098" s="18"/>
      <c r="H1098" s="18"/>
      <c r="I1098" s="18"/>
      <c r="J1098" s="18"/>
      <c r="K1098" s="18"/>
      <c r="L1098" s="10"/>
      <c r="M1098" s="18"/>
      <c r="N1098" s="10"/>
      <c r="O1098" s="18"/>
      <c r="P1098" s="18"/>
      <c r="Q1098" s="18">
        <v>7681640.4199999999</v>
      </c>
      <c r="R1098" s="18"/>
      <c r="S1098" s="18"/>
    </row>
    <row r="1099" spans="1:19" x14ac:dyDescent="0.25">
      <c r="A1099" s="9" t="s">
        <v>273</v>
      </c>
      <c r="B1099" s="17" t="s">
        <v>383</v>
      </c>
      <c r="C1099" s="18">
        <f t="shared" si="75"/>
        <v>6658223.0899999999</v>
      </c>
      <c r="D1099" s="18"/>
      <c r="E1099" s="18"/>
      <c r="F1099" s="18">
        <v>1034330.73</v>
      </c>
      <c r="G1099" s="18"/>
      <c r="H1099" s="18"/>
      <c r="I1099" s="18"/>
      <c r="J1099" s="18"/>
      <c r="K1099" s="18"/>
      <c r="L1099" s="10"/>
      <c r="M1099" s="18"/>
      <c r="N1099" s="10" t="s">
        <v>552</v>
      </c>
      <c r="O1099" s="18">
        <v>4000206.6500000004</v>
      </c>
      <c r="P1099" s="18">
        <v>1623685.71</v>
      </c>
      <c r="Q1099" s="18"/>
      <c r="R1099" s="18"/>
      <c r="S1099" s="18"/>
    </row>
    <row r="1100" spans="1:19" x14ac:dyDescent="0.25">
      <c r="A1100" s="9" t="s">
        <v>275</v>
      </c>
      <c r="B1100" s="17" t="s">
        <v>385</v>
      </c>
      <c r="C1100" s="18">
        <f t="shared" ref="C1100:C1127" si="76">ROUNDUP(SUM(D1100+E1100+F1100+G1100+H1100+I1100+J1100+K1100+M1100+O1100+P1100+Q1100+R1100+S1100),2)</f>
        <v>3165088.49</v>
      </c>
      <c r="D1100" s="18"/>
      <c r="E1100" s="18"/>
      <c r="F1100" s="18"/>
      <c r="G1100" s="18"/>
      <c r="H1100" s="18"/>
      <c r="I1100" s="18"/>
      <c r="J1100" s="18"/>
      <c r="K1100" s="18"/>
      <c r="L1100" s="10"/>
      <c r="M1100" s="18"/>
      <c r="N1100" s="10" t="s">
        <v>552</v>
      </c>
      <c r="O1100" s="18">
        <v>3165088.49</v>
      </c>
      <c r="P1100" s="18"/>
      <c r="Q1100" s="18"/>
      <c r="R1100" s="18"/>
      <c r="S1100" s="18"/>
    </row>
    <row r="1101" spans="1:19" x14ac:dyDescent="0.25">
      <c r="A1101" s="9" t="s">
        <v>277</v>
      </c>
      <c r="B1101" s="17" t="s">
        <v>387</v>
      </c>
      <c r="C1101" s="18">
        <f t="shared" si="76"/>
        <v>6850842.9500000002</v>
      </c>
      <c r="D1101" s="18"/>
      <c r="E1101" s="18"/>
      <c r="F1101" s="18"/>
      <c r="G1101" s="18"/>
      <c r="H1101" s="18"/>
      <c r="I1101" s="18"/>
      <c r="J1101" s="18"/>
      <c r="K1101" s="18"/>
      <c r="L1101" s="10"/>
      <c r="M1101" s="18"/>
      <c r="N1101" s="10" t="s">
        <v>552</v>
      </c>
      <c r="O1101" s="18">
        <v>3191236.39</v>
      </c>
      <c r="P1101" s="18"/>
      <c r="Q1101" s="18">
        <v>3659606.56</v>
      </c>
      <c r="R1101" s="18"/>
      <c r="S1101" s="18"/>
    </row>
    <row r="1102" spans="1:19" x14ac:dyDescent="0.25">
      <c r="A1102" s="9" t="s">
        <v>279</v>
      </c>
      <c r="B1102" s="17" t="s">
        <v>391</v>
      </c>
      <c r="C1102" s="18">
        <f t="shared" si="76"/>
        <v>12372808.41</v>
      </c>
      <c r="D1102" s="18"/>
      <c r="E1102" s="18"/>
      <c r="F1102" s="18">
        <v>1226618.48</v>
      </c>
      <c r="G1102" s="18"/>
      <c r="H1102" s="18"/>
      <c r="I1102" s="18"/>
      <c r="J1102" s="18"/>
      <c r="K1102" s="18"/>
      <c r="L1102" s="10"/>
      <c r="M1102" s="18"/>
      <c r="N1102" s="10" t="s">
        <v>552</v>
      </c>
      <c r="O1102" s="18">
        <v>5575038.25</v>
      </c>
      <c r="P1102" s="18"/>
      <c r="Q1102" s="18">
        <v>5571151.6799999997</v>
      </c>
      <c r="R1102" s="18"/>
      <c r="S1102" s="18"/>
    </row>
    <row r="1103" spans="1:19" x14ac:dyDescent="0.25">
      <c r="A1103" s="9" t="s">
        <v>281</v>
      </c>
      <c r="B1103" s="17" t="s">
        <v>393</v>
      </c>
      <c r="C1103" s="18">
        <f t="shared" si="76"/>
        <v>21414523.27</v>
      </c>
      <c r="D1103" s="18"/>
      <c r="E1103" s="18"/>
      <c r="F1103" s="18">
        <v>2407759.1800000002</v>
      </c>
      <c r="G1103" s="18"/>
      <c r="H1103" s="18"/>
      <c r="I1103" s="18"/>
      <c r="J1103" s="18"/>
      <c r="K1103" s="18"/>
      <c r="L1103" s="10"/>
      <c r="M1103" s="18"/>
      <c r="N1103" s="10" t="s">
        <v>552</v>
      </c>
      <c r="O1103" s="18">
        <v>7200492.8499999996</v>
      </c>
      <c r="P1103" s="18">
        <v>2917241</v>
      </c>
      <c r="Q1103" s="18">
        <v>8889030.2400000002</v>
      </c>
      <c r="R1103" s="18"/>
      <c r="S1103" s="18"/>
    </row>
    <row r="1104" spans="1:19" x14ac:dyDescent="0.25">
      <c r="A1104" s="9" t="s">
        <v>283</v>
      </c>
      <c r="B1104" s="17" t="s">
        <v>399</v>
      </c>
      <c r="C1104" s="18">
        <f t="shared" si="76"/>
        <v>8429957.4600000009</v>
      </c>
      <c r="D1104" s="18"/>
      <c r="E1104" s="18"/>
      <c r="F1104" s="18"/>
      <c r="G1104" s="18"/>
      <c r="H1104" s="18"/>
      <c r="I1104" s="18"/>
      <c r="J1104" s="18"/>
      <c r="K1104" s="18"/>
      <c r="L1104" s="10"/>
      <c r="M1104" s="18"/>
      <c r="N1104" s="10"/>
      <c r="O1104" s="18"/>
      <c r="P1104" s="18"/>
      <c r="Q1104" s="18">
        <v>8429957.4600000009</v>
      </c>
      <c r="R1104" s="18"/>
      <c r="S1104" s="18"/>
    </row>
    <row r="1105" spans="1:19" x14ac:dyDescent="0.25">
      <c r="A1105" s="9" t="s">
        <v>285</v>
      </c>
      <c r="B1105" s="17" t="s">
        <v>403</v>
      </c>
      <c r="C1105" s="18">
        <f t="shared" si="76"/>
        <v>14464844.01</v>
      </c>
      <c r="D1105" s="18"/>
      <c r="E1105" s="18"/>
      <c r="F1105" s="18"/>
      <c r="G1105" s="18"/>
      <c r="H1105" s="18"/>
      <c r="I1105" s="18"/>
      <c r="J1105" s="18"/>
      <c r="K1105" s="18"/>
      <c r="L1105" s="10"/>
      <c r="M1105" s="18"/>
      <c r="N1105" s="10" t="s">
        <v>552</v>
      </c>
      <c r="O1105" s="18">
        <v>6450611.1100000003</v>
      </c>
      <c r="P1105" s="18"/>
      <c r="Q1105" s="18">
        <v>8014232.9000000004</v>
      </c>
      <c r="R1105" s="18"/>
      <c r="S1105" s="18"/>
    </row>
    <row r="1106" spans="1:19" x14ac:dyDescent="0.25">
      <c r="A1106" s="9" t="s">
        <v>289</v>
      </c>
      <c r="B1106" s="17" t="s">
        <v>405</v>
      </c>
      <c r="C1106" s="18">
        <f t="shared" si="76"/>
        <v>17482137.079999998</v>
      </c>
      <c r="D1106" s="18"/>
      <c r="E1106" s="18"/>
      <c r="F1106" s="20">
        <v>2487479.46</v>
      </c>
      <c r="G1106" s="18"/>
      <c r="H1106" s="18"/>
      <c r="I1106" s="18"/>
      <c r="J1106" s="18"/>
      <c r="K1106" s="18"/>
      <c r="L1106" s="10"/>
      <c r="M1106" s="18"/>
      <c r="N1106" s="10" t="s">
        <v>552</v>
      </c>
      <c r="O1106" s="18">
        <v>6454724.7000000002</v>
      </c>
      <c r="P1106" s="18"/>
      <c r="Q1106" s="18">
        <v>8539932.9199999999</v>
      </c>
      <c r="R1106" s="18"/>
      <c r="S1106" s="18"/>
    </row>
    <row r="1107" spans="1:19" x14ac:dyDescent="0.25">
      <c r="A1107" s="9" t="s">
        <v>291</v>
      </c>
      <c r="B1107" s="17" t="s">
        <v>407</v>
      </c>
      <c r="C1107" s="18">
        <f t="shared" si="76"/>
        <v>21413641.710000001</v>
      </c>
      <c r="D1107" s="18"/>
      <c r="E1107" s="18"/>
      <c r="F1107" s="20">
        <v>2407759.17</v>
      </c>
      <c r="G1107" s="18"/>
      <c r="H1107" s="18"/>
      <c r="I1107" s="18"/>
      <c r="J1107" s="18"/>
      <c r="K1107" s="18"/>
      <c r="L1107" s="10"/>
      <c r="M1107" s="18"/>
      <c r="N1107" s="10" t="s">
        <v>552</v>
      </c>
      <c r="O1107" s="18">
        <v>7200449.6600000001</v>
      </c>
      <c r="P1107" s="18">
        <v>2919656.75</v>
      </c>
      <c r="Q1107" s="18">
        <v>8885776.1300000008</v>
      </c>
      <c r="R1107" s="18"/>
      <c r="S1107" s="18"/>
    </row>
    <row r="1108" spans="1:19" x14ac:dyDescent="0.25">
      <c r="A1108" s="9" t="s">
        <v>293</v>
      </c>
      <c r="B1108" s="17" t="s">
        <v>411</v>
      </c>
      <c r="C1108" s="18">
        <f t="shared" si="76"/>
        <v>14198789.85</v>
      </c>
      <c r="D1108" s="18"/>
      <c r="E1108" s="18"/>
      <c r="F1108" s="18">
        <v>2574703.13</v>
      </c>
      <c r="G1108" s="18"/>
      <c r="H1108" s="18"/>
      <c r="I1108" s="18"/>
      <c r="J1108" s="18"/>
      <c r="K1108" s="18"/>
      <c r="L1108" s="10"/>
      <c r="M1108" s="18"/>
      <c r="N1108" s="10"/>
      <c r="O1108" s="18"/>
      <c r="P1108" s="18">
        <v>2835557.88</v>
      </c>
      <c r="Q1108" s="18">
        <v>8788528.8399999999</v>
      </c>
      <c r="R1108" s="18"/>
      <c r="S1108" s="18"/>
    </row>
    <row r="1109" spans="1:19" x14ac:dyDescent="0.25">
      <c r="A1109" s="9" t="s">
        <v>295</v>
      </c>
      <c r="B1109" s="17" t="s">
        <v>413</v>
      </c>
      <c r="C1109" s="18">
        <f t="shared" si="76"/>
        <v>14076145.800000001</v>
      </c>
      <c r="D1109" s="18"/>
      <c r="E1109" s="18"/>
      <c r="F1109" s="18"/>
      <c r="G1109" s="18"/>
      <c r="H1109" s="18"/>
      <c r="I1109" s="18"/>
      <c r="J1109" s="18"/>
      <c r="K1109" s="18"/>
      <c r="L1109" s="10"/>
      <c r="M1109" s="18"/>
      <c r="N1109" s="10" t="s">
        <v>552</v>
      </c>
      <c r="O1109" s="18">
        <v>6327381.3700000001</v>
      </c>
      <c r="P1109" s="18"/>
      <c r="Q1109" s="18">
        <v>7748764.4299999997</v>
      </c>
      <c r="R1109" s="18"/>
      <c r="S1109" s="18"/>
    </row>
    <row r="1110" spans="1:19" x14ac:dyDescent="0.25">
      <c r="A1110" s="9" t="s">
        <v>297</v>
      </c>
      <c r="B1110" s="17" t="s">
        <v>415</v>
      </c>
      <c r="C1110" s="18">
        <f t="shared" si="76"/>
        <v>18831536.850000001</v>
      </c>
      <c r="D1110" s="18"/>
      <c r="E1110" s="18"/>
      <c r="F1110" s="18">
        <v>2483145.42</v>
      </c>
      <c r="G1110" s="18"/>
      <c r="H1110" s="18"/>
      <c r="I1110" s="18"/>
      <c r="J1110" s="18"/>
      <c r="K1110" s="18"/>
      <c r="L1110" s="10"/>
      <c r="M1110" s="18"/>
      <c r="N1110" s="10" t="s">
        <v>552</v>
      </c>
      <c r="O1110" s="18">
        <v>6372953.71</v>
      </c>
      <c r="P1110" s="18">
        <v>2520942.63</v>
      </c>
      <c r="Q1110" s="18">
        <v>7454495.0899999999</v>
      </c>
      <c r="R1110" s="18"/>
      <c r="S1110" s="18"/>
    </row>
    <row r="1111" spans="1:19" x14ac:dyDescent="0.25">
      <c r="A1111" s="9" t="s">
        <v>299</v>
      </c>
      <c r="B1111" s="17" t="s">
        <v>417</v>
      </c>
      <c r="C1111" s="18">
        <f t="shared" si="76"/>
        <v>6298587.8700000001</v>
      </c>
      <c r="D1111" s="18"/>
      <c r="E1111" s="18"/>
      <c r="F1111" s="18"/>
      <c r="G1111" s="18"/>
      <c r="H1111" s="18"/>
      <c r="I1111" s="18"/>
      <c r="J1111" s="18"/>
      <c r="K1111" s="18"/>
      <c r="L1111" s="10"/>
      <c r="M1111" s="18"/>
      <c r="N1111" s="10" t="s">
        <v>552</v>
      </c>
      <c r="O1111" s="18">
        <v>6298587.8700000001</v>
      </c>
      <c r="P1111" s="18"/>
      <c r="Q1111" s="18"/>
      <c r="R1111" s="18"/>
      <c r="S1111" s="18"/>
    </row>
    <row r="1112" spans="1:19" x14ac:dyDescent="0.25">
      <c r="A1112" s="9" t="s">
        <v>301</v>
      </c>
      <c r="B1112" s="17" t="s">
        <v>419</v>
      </c>
      <c r="C1112" s="18">
        <f t="shared" si="76"/>
        <v>6358470.04</v>
      </c>
      <c r="D1112" s="18"/>
      <c r="E1112" s="18"/>
      <c r="F1112" s="18"/>
      <c r="G1112" s="18"/>
      <c r="H1112" s="18"/>
      <c r="I1112" s="18"/>
      <c r="J1112" s="18"/>
      <c r="K1112" s="18"/>
      <c r="L1112" s="10"/>
      <c r="M1112" s="18"/>
      <c r="N1112" s="10" t="s">
        <v>552</v>
      </c>
      <c r="O1112" s="18">
        <v>6358470.04</v>
      </c>
      <c r="P1112" s="18"/>
      <c r="Q1112" s="18"/>
      <c r="R1112" s="18"/>
      <c r="S1112" s="18"/>
    </row>
    <row r="1113" spans="1:19" x14ac:dyDescent="0.25">
      <c r="A1113" s="9" t="s">
        <v>303</v>
      </c>
      <c r="B1113" s="17" t="s">
        <v>421</v>
      </c>
      <c r="C1113" s="18">
        <f t="shared" si="76"/>
        <v>19160477.440000001</v>
      </c>
      <c r="D1113" s="18"/>
      <c r="E1113" s="18"/>
      <c r="F1113" s="20">
        <v>2486911.06</v>
      </c>
      <c r="G1113" s="18"/>
      <c r="H1113" s="18"/>
      <c r="I1113" s="18"/>
      <c r="J1113" s="18"/>
      <c r="K1113" s="18"/>
      <c r="L1113" s="10"/>
      <c r="M1113" s="18"/>
      <c r="N1113" s="10" t="s">
        <v>552</v>
      </c>
      <c r="O1113" s="18">
        <v>6353108.4000000004</v>
      </c>
      <c r="P1113" s="18">
        <v>2483322.87</v>
      </c>
      <c r="Q1113" s="18">
        <v>7837135.1100000003</v>
      </c>
      <c r="R1113" s="18"/>
      <c r="S1113" s="18"/>
    </row>
    <row r="1114" spans="1:19" x14ac:dyDescent="0.25">
      <c r="A1114" s="9" t="s">
        <v>305</v>
      </c>
      <c r="B1114" s="17" t="s">
        <v>425</v>
      </c>
      <c r="C1114" s="18">
        <f t="shared" si="76"/>
        <v>7651505.9500000002</v>
      </c>
      <c r="D1114" s="18"/>
      <c r="E1114" s="18"/>
      <c r="F1114" s="18"/>
      <c r="G1114" s="18"/>
      <c r="H1114" s="18"/>
      <c r="I1114" s="18"/>
      <c r="J1114" s="18"/>
      <c r="K1114" s="18"/>
      <c r="L1114" s="10"/>
      <c r="M1114" s="18"/>
      <c r="N1114" s="10"/>
      <c r="O1114" s="18"/>
      <c r="P1114" s="18"/>
      <c r="Q1114" s="18">
        <v>7651505.9500000002</v>
      </c>
      <c r="R1114" s="18"/>
      <c r="S1114" s="18"/>
    </row>
    <row r="1115" spans="1:19" x14ac:dyDescent="0.25">
      <c r="A1115" s="9" t="s">
        <v>307</v>
      </c>
      <c r="B1115" s="17" t="s">
        <v>427</v>
      </c>
      <c r="C1115" s="18">
        <f t="shared" si="76"/>
        <v>6310933.0700000003</v>
      </c>
      <c r="D1115" s="18"/>
      <c r="E1115" s="18"/>
      <c r="F1115" s="18"/>
      <c r="G1115" s="18"/>
      <c r="H1115" s="18"/>
      <c r="I1115" s="18"/>
      <c r="J1115" s="18"/>
      <c r="K1115" s="18"/>
      <c r="L1115" s="10"/>
      <c r="M1115" s="18"/>
      <c r="N1115" s="10" t="s">
        <v>552</v>
      </c>
      <c r="O1115" s="18">
        <v>6310933.0700000003</v>
      </c>
      <c r="P1115" s="18"/>
      <c r="Q1115" s="18"/>
      <c r="R1115" s="18"/>
      <c r="S1115" s="18"/>
    </row>
    <row r="1116" spans="1:19" x14ac:dyDescent="0.25">
      <c r="A1116" s="9" t="s">
        <v>309</v>
      </c>
      <c r="B1116" s="17" t="s">
        <v>429</v>
      </c>
      <c r="C1116" s="18">
        <f t="shared" si="76"/>
        <v>7521965.8899999997</v>
      </c>
      <c r="D1116" s="18"/>
      <c r="E1116" s="18"/>
      <c r="F1116" s="18"/>
      <c r="G1116" s="18"/>
      <c r="H1116" s="18"/>
      <c r="I1116" s="18"/>
      <c r="J1116" s="18"/>
      <c r="K1116" s="18"/>
      <c r="L1116" s="10"/>
      <c r="M1116" s="18"/>
      <c r="N1116" s="10" t="s">
        <v>552</v>
      </c>
      <c r="O1116" s="18">
        <v>3203471.65</v>
      </c>
      <c r="P1116" s="18"/>
      <c r="Q1116" s="18">
        <v>4318494.24</v>
      </c>
      <c r="R1116" s="18"/>
      <c r="S1116" s="18"/>
    </row>
    <row r="1117" spans="1:19" x14ac:dyDescent="0.25">
      <c r="A1117" s="9" t="s">
        <v>311</v>
      </c>
      <c r="B1117" s="17" t="s">
        <v>433</v>
      </c>
      <c r="C1117" s="18">
        <f t="shared" si="76"/>
        <v>37754338.57</v>
      </c>
      <c r="D1117" s="18"/>
      <c r="E1117" s="18"/>
      <c r="F1117" s="20">
        <v>4383881.3600000003</v>
      </c>
      <c r="G1117" s="18"/>
      <c r="H1117" s="18"/>
      <c r="I1117" s="18"/>
      <c r="J1117" s="18"/>
      <c r="K1117" s="18"/>
      <c r="L1117" s="10"/>
      <c r="M1117" s="18"/>
      <c r="N1117" s="10" t="s">
        <v>552</v>
      </c>
      <c r="O1117" s="18">
        <v>14190013.119999999</v>
      </c>
      <c r="P1117" s="18">
        <v>4640140.21</v>
      </c>
      <c r="Q1117" s="18">
        <v>14540303.880000001</v>
      </c>
      <c r="R1117" s="18"/>
      <c r="S1117" s="18"/>
    </row>
    <row r="1118" spans="1:19" x14ac:dyDescent="0.25">
      <c r="A1118" s="9" t="s">
        <v>313</v>
      </c>
      <c r="B1118" s="17" t="s">
        <v>435</v>
      </c>
      <c r="C1118" s="18">
        <f t="shared" si="76"/>
        <v>8265878.5700000003</v>
      </c>
      <c r="D1118" s="18"/>
      <c r="E1118" s="18"/>
      <c r="F1118" s="18"/>
      <c r="G1118" s="18"/>
      <c r="H1118" s="18"/>
      <c r="I1118" s="18"/>
      <c r="J1118" s="18"/>
      <c r="K1118" s="18"/>
      <c r="L1118" s="10"/>
      <c r="M1118" s="18"/>
      <c r="N1118" s="10" t="s">
        <v>552</v>
      </c>
      <c r="O1118" s="18">
        <v>3742208.51</v>
      </c>
      <c r="P1118" s="18"/>
      <c r="Q1118" s="18">
        <v>4523670.0599999996</v>
      </c>
      <c r="R1118" s="18"/>
      <c r="S1118" s="18"/>
    </row>
    <row r="1119" spans="1:19" x14ac:dyDescent="0.25">
      <c r="A1119" s="9" t="s">
        <v>315</v>
      </c>
      <c r="B1119" s="17" t="s">
        <v>437</v>
      </c>
      <c r="C1119" s="18">
        <f t="shared" si="76"/>
        <v>13325477.75</v>
      </c>
      <c r="D1119" s="18"/>
      <c r="E1119" s="18"/>
      <c r="F1119" s="18"/>
      <c r="G1119" s="18"/>
      <c r="H1119" s="18"/>
      <c r="I1119" s="18"/>
      <c r="J1119" s="18"/>
      <c r="K1119" s="18"/>
      <c r="L1119" s="10"/>
      <c r="M1119" s="18"/>
      <c r="N1119" s="10" t="s">
        <v>552</v>
      </c>
      <c r="O1119" s="18">
        <v>5417933.5599999996</v>
      </c>
      <c r="P1119" s="18"/>
      <c r="Q1119" s="18">
        <v>7907544.1900000004</v>
      </c>
      <c r="R1119" s="18"/>
      <c r="S1119" s="18"/>
    </row>
    <row r="1120" spans="1:19" x14ac:dyDescent="0.25">
      <c r="A1120" s="9" t="s">
        <v>317</v>
      </c>
      <c r="B1120" s="17" t="s">
        <v>441</v>
      </c>
      <c r="C1120" s="18">
        <f t="shared" si="76"/>
        <v>15844363.01</v>
      </c>
      <c r="D1120" s="18"/>
      <c r="E1120" s="18"/>
      <c r="F1120" s="18"/>
      <c r="G1120" s="18"/>
      <c r="H1120" s="18"/>
      <c r="I1120" s="18"/>
      <c r="J1120" s="18"/>
      <c r="K1120" s="18"/>
      <c r="L1120" s="10"/>
      <c r="M1120" s="18"/>
      <c r="N1120" s="10"/>
      <c r="O1120" s="18"/>
      <c r="P1120" s="18"/>
      <c r="Q1120" s="18"/>
      <c r="R1120" s="18">
        <v>15844363.01</v>
      </c>
      <c r="S1120" s="18"/>
    </row>
    <row r="1121" spans="1:19" x14ac:dyDescent="0.25">
      <c r="A1121" s="9" t="s">
        <v>319</v>
      </c>
      <c r="B1121" s="17" t="s">
        <v>447</v>
      </c>
      <c r="C1121" s="18">
        <f t="shared" si="76"/>
        <v>19498991.059999999</v>
      </c>
      <c r="D1121" s="18"/>
      <c r="E1121" s="18"/>
      <c r="F1121" s="18"/>
      <c r="G1121" s="18"/>
      <c r="H1121" s="18"/>
      <c r="I1121" s="18"/>
      <c r="J1121" s="18"/>
      <c r="K1121" s="18"/>
      <c r="L1121" s="10"/>
      <c r="M1121" s="18"/>
      <c r="N1121" s="10"/>
      <c r="O1121" s="18"/>
      <c r="P1121" s="18"/>
      <c r="Q1121" s="18"/>
      <c r="R1121" s="18">
        <v>19498991.059999999</v>
      </c>
      <c r="S1121" s="18"/>
    </row>
    <row r="1122" spans="1:19" x14ac:dyDescent="0.25">
      <c r="A1122" s="9" t="s">
        <v>321</v>
      </c>
      <c r="B1122" s="17" t="s">
        <v>449</v>
      </c>
      <c r="C1122" s="18">
        <f t="shared" si="76"/>
        <v>25895311.890000001</v>
      </c>
      <c r="D1122" s="18"/>
      <c r="E1122" s="18"/>
      <c r="F1122" s="18"/>
      <c r="G1122" s="18"/>
      <c r="H1122" s="18"/>
      <c r="I1122" s="18"/>
      <c r="J1122" s="18"/>
      <c r="K1122" s="18"/>
      <c r="L1122" s="10"/>
      <c r="M1122" s="18"/>
      <c r="N1122" s="10"/>
      <c r="O1122" s="18"/>
      <c r="P1122" s="18"/>
      <c r="Q1122" s="18"/>
      <c r="R1122" s="18">
        <v>25895311.890000001</v>
      </c>
      <c r="S1122" s="18"/>
    </row>
    <row r="1123" spans="1:19" x14ac:dyDescent="0.25">
      <c r="A1123" s="9" t="s">
        <v>323</v>
      </c>
      <c r="B1123" s="17" t="s">
        <v>451</v>
      </c>
      <c r="C1123" s="18">
        <f t="shared" si="76"/>
        <v>26739857.32</v>
      </c>
      <c r="D1123" s="18"/>
      <c r="E1123" s="18"/>
      <c r="F1123" s="18"/>
      <c r="G1123" s="18"/>
      <c r="H1123" s="18"/>
      <c r="I1123" s="18"/>
      <c r="J1123" s="18"/>
      <c r="K1123" s="18"/>
      <c r="L1123" s="10"/>
      <c r="M1123" s="18"/>
      <c r="N1123" s="10"/>
      <c r="O1123" s="18"/>
      <c r="P1123" s="18"/>
      <c r="Q1123" s="18"/>
      <c r="R1123" s="18">
        <v>26739857.32</v>
      </c>
      <c r="S1123" s="18"/>
    </row>
    <row r="1124" spans="1:19" x14ac:dyDescent="0.25">
      <c r="A1124" s="9" t="s">
        <v>325</v>
      </c>
      <c r="B1124" s="17" t="s">
        <v>453</v>
      </c>
      <c r="C1124" s="18">
        <f t="shared" si="76"/>
        <v>40797222.119999997</v>
      </c>
      <c r="D1124" s="18"/>
      <c r="E1124" s="18"/>
      <c r="F1124" s="18">
        <v>4176802.3</v>
      </c>
      <c r="G1124" s="18"/>
      <c r="H1124" s="18"/>
      <c r="I1124" s="18"/>
      <c r="J1124" s="18">
        <v>2199633.59</v>
      </c>
      <c r="K1124" s="18"/>
      <c r="L1124" s="10"/>
      <c r="M1124" s="18"/>
      <c r="N1124" s="10" t="s">
        <v>552</v>
      </c>
      <c r="O1124" s="18">
        <v>15795214.24</v>
      </c>
      <c r="P1124" s="18">
        <v>4911395.3499999996</v>
      </c>
      <c r="Q1124" s="18">
        <v>13714176.640000001</v>
      </c>
      <c r="R1124" s="18"/>
      <c r="S1124" s="18"/>
    </row>
    <row r="1125" spans="1:19" x14ac:dyDescent="0.25">
      <c r="A1125" s="9" t="s">
        <v>327</v>
      </c>
      <c r="B1125" s="17" t="s">
        <v>455</v>
      </c>
      <c r="C1125" s="18">
        <f t="shared" si="76"/>
        <v>16221667.699999999</v>
      </c>
      <c r="D1125" s="18"/>
      <c r="E1125" s="18"/>
      <c r="F1125" s="18"/>
      <c r="G1125" s="18"/>
      <c r="H1125" s="18"/>
      <c r="I1125" s="18"/>
      <c r="J1125" s="18"/>
      <c r="K1125" s="18"/>
      <c r="L1125" s="10"/>
      <c r="M1125" s="18"/>
      <c r="N1125" s="10"/>
      <c r="O1125" s="18"/>
      <c r="P1125" s="18"/>
      <c r="Q1125" s="18"/>
      <c r="R1125" s="18">
        <v>16221667.699999999</v>
      </c>
      <c r="S1125" s="18"/>
    </row>
    <row r="1126" spans="1:19" x14ac:dyDescent="0.25">
      <c r="A1126" s="9" t="s">
        <v>329</v>
      </c>
      <c r="B1126" s="17" t="s">
        <v>457</v>
      </c>
      <c r="C1126" s="18">
        <f t="shared" si="76"/>
        <v>16337507.140000001</v>
      </c>
      <c r="D1126" s="18"/>
      <c r="E1126" s="18"/>
      <c r="F1126" s="18">
        <v>2815999.83</v>
      </c>
      <c r="G1126" s="18"/>
      <c r="H1126" s="18"/>
      <c r="I1126" s="18"/>
      <c r="J1126" s="18"/>
      <c r="K1126" s="18"/>
      <c r="L1126" s="10"/>
      <c r="M1126" s="18"/>
      <c r="N1126" s="10" t="s">
        <v>552</v>
      </c>
      <c r="O1126" s="18">
        <v>10121785.380000001</v>
      </c>
      <c r="P1126" s="18">
        <v>3399721.93</v>
      </c>
      <c r="Q1126" s="18"/>
      <c r="R1126" s="18"/>
      <c r="S1126" s="18"/>
    </row>
    <row r="1127" spans="1:19" x14ac:dyDescent="0.25">
      <c r="A1127" s="9" t="s">
        <v>331</v>
      </c>
      <c r="B1127" s="17" t="s">
        <v>1909</v>
      </c>
      <c r="C1127" s="18">
        <f t="shared" si="76"/>
        <v>60854.81</v>
      </c>
      <c r="D1127" s="18"/>
      <c r="E1127" s="18">
        <v>60854.81</v>
      </c>
      <c r="F1127" s="18"/>
      <c r="G1127" s="18"/>
      <c r="H1127" s="18"/>
      <c r="I1127" s="18"/>
      <c r="J1127" s="18"/>
      <c r="K1127" s="18"/>
      <c r="L1127" s="10"/>
      <c r="M1127" s="18"/>
      <c r="N1127" s="10"/>
      <c r="O1127" s="18"/>
      <c r="P1127" s="18"/>
      <c r="Q1127" s="18"/>
      <c r="R1127" s="18"/>
      <c r="S1127" s="18"/>
    </row>
    <row r="1128" spans="1:19" x14ac:dyDescent="0.25">
      <c r="A1128" s="9"/>
      <c r="B1128" s="50" t="s">
        <v>2081</v>
      </c>
      <c r="C1128" s="18">
        <f>ROUND(D1128+E1128+F1128+G1128+H1128+I1128+J1128+K1128+M1128+O1128+P1128+Q1128+R1128+S1128,2)</f>
        <v>755368573.00999999</v>
      </c>
      <c r="D1128" s="18">
        <f t="shared" ref="D1128:S1128" si="77">SUM(D1068:D1127)</f>
        <v>352520.68</v>
      </c>
      <c r="E1128" s="18">
        <f t="shared" si="77"/>
        <v>469588.12</v>
      </c>
      <c r="F1128" s="18">
        <f t="shared" si="77"/>
        <v>77856641.359999999</v>
      </c>
      <c r="G1128" s="18">
        <f t="shared" si="77"/>
        <v>0</v>
      </c>
      <c r="H1128" s="18">
        <f t="shared" si="77"/>
        <v>0</v>
      </c>
      <c r="I1128" s="18">
        <f t="shared" si="77"/>
        <v>0</v>
      </c>
      <c r="J1128" s="18">
        <f t="shared" si="77"/>
        <v>3574575.8899999997</v>
      </c>
      <c r="K1128" s="18">
        <f t="shared" si="77"/>
        <v>0</v>
      </c>
      <c r="L1128" s="10">
        <f t="shared" si="77"/>
        <v>6</v>
      </c>
      <c r="M1128" s="18">
        <f t="shared" si="77"/>
        <v>17371297.100000001</v>
      </c>
      <c r="N1128" s="18" t="s">
        <v>42</v>
      </c>
      <c r="O1128" s="18">
        <f t="shared" si="77"/>
        <v>264338282.05000001</v>
      </c>
      <c r="P1128" s="18">
        <f t="shared" si="77"/>
        <v>32820520.32</v>
      </c>
      <c r="Q1128" s="18">
        <f t="shared" si="77"/>
        <v>237724393.56999999</v>
      </c>
      <c r="R1128" s="18">
        <f t="shared" si="77"/>
        <v>120860753.92</v>
      </c>
      <c r="S1128" s="18">
        <f t="shared" si="77"/>
        <v>0</v>
      </c>
    </row>
    <row r="1129" spans="1:19" x14ac:dyDescent="0.25">
      <c r="A1129" s="9"/>
      <c r="B1129" s="46" t="s">
        <v>480</v>
      </c>
      <c r="C1129" s="19"/>
      <c r="D1129" s="13"/>
      <c r="E1129" s="13"/>
      <c r="F1129" s="13"/>
      <c r="G1129" s="13"/>
      <c r="H1129" s="13"/>
      <c r="I1129" s="13"/>
      <c r="J1129" s="13"/>
      <c r="K1129" s="13"/>
      <c r="L1129" s="14"/>
      <c r="M1129" s="13"/>
      <c r="N1129" s="14"/>
      <c r="O1129" s="13"/>
      <c r="P1129" s="13"/>
      <c r="Q1129" s="13"/>
      <c r="R1129" s="13"/>
      <c r="S1129" s="13"/>
    </row>
    <row r="1130" spans="1:19" x14ac:dyDescent="0.25">
      <c r="A1130" s="9" t="s">
        <v>333</v>
      </c>
      <c r="B1130" s="17" t="s">
        <v>484</v>
      </c>
      <c r="C1130" s="18">
        <f t="shared" ref="C1130:C1137" si="78">ROUNDUP(SUM(D1130+E1130+F1130+G1130+H1130+I1130+J1130+K1130+M1130+O1130+P1130+Q1130+R1130+S1130),2)</f>
        <v>6246872.8200000003</v>
      </c>
      <c r="D1130" s="18"/>
      <c r="E1130" s="18"/>
      <c r="F1130" s="18"/>
      <c r="G1130" s="18"/>
      <c r="H1130" s="18"/>
      <c r="I1130" s="18"/>
      <c r="J1130" s="18"/>
      <c r="K1130" s="18"/>
      <c r="L1130" s="10"/>
      <c r="M1130" s="18"/>
      <c r="N1130" s="10" t="s">
        <v>883</v>
      </c>
      <c r="O1130" s="18">
        <v>6246872.8200000003</v>
      </c>
      <c r="P1130" s="18"/>
      <c r="Q1130" s="18"/>
      <c r="R1130" s="18"/>
      <c r="S1130" s="18"/>
    </row>
    <row r="1131" spans="1:19" x14ac:dyDescent="0.25">
      <c r="A1131" s="9" t="s">
        <v>335</v>
      </c>
      <c r="B1131" s="17" t="s">
        <v>488</v>
      </c>
      <c r="C1131" s="18">
        <f t="shared" si="78"/>
        <v>4034858.9</v>
      </c>
      <c r="D1131" s="18"/>
      <c r="E1131" s="18"/>
      <c r="F1131" s="18"/>
      <c r="G1131" s="18"/>
      <c r="H1131" s="18"/>
      <c r="I1131" s="18"/>
      <c r="J1131" s="18"/>
      <c r="K1131" s="18"/>
      <c r="L1131" s="10"/>
      <c r="M1131" s="18"/>
      <c r="N1131" s="10"/>
      <c r="O1131" s="18"/>
      <c r="P1131" s="18">
        <v>4034858.9</v>
      </c>
      <c r="Q1131" s="18"/>
      <c r="R1131" s="18"/>
      <c r="S1131" s="18"/>
    </row>
    <row r="1132" spans="1:19" x14ac:dyDescent="0.25">
      <c r="A1132" s="9" t="s">
        <v>337</v>
      </c>
      <c r="B1132" s="17" t="s">
        <v>490</v>
      </c>
      <c r="C1132" s="18">
        <f t="shared" si="78"/>
        <v>8782175.1899999995</v>
      </c>
      <c r="D1132" s="18"/>
      <c r="E1132" s="18"/>
      <c r="F1132" s="18"/>
      <c r="G1132" s="18"/>
      <c r="H1132" s="18">
        <v>1866904.8</v>
      </c>
      <c r="I1132" s="18">
        <v>1210882.8</v>
      </c>
      <c r="J1132" s="18">
        <v>1493800.8</v>
      </c>
      <c r="K1132" s="18"/>
      <c r="L1132" s="10"/>
      <c r="M1132" s="18"/>
      <c r="N1132" s="10"/>
      <c r="O1132" s="18"/>
      <c r="P1132" s="18">
        <v>4210586.79</v>
      </c>
      <c r="Q1132" s="18"/>
      <c r="R1132" s="18"/>
      <c r="S1132" s="18"/>
    </row>
    <row r="1133" spans="1:19" x14ac:dyDescent="0.25">
      <c r="A1133" s="9" t="s">
        <v>339</v>
      </c>
      <c r="B1133" s="17" t="s">
        <v>504</v>
      </c>
      <c r="C1133" s="18">
        <f t="shared" si="78"/>
        <v>6366176.1500000004</v>
      </c>
      <c r="D1133" s="18"/>
      <c r="E1133" s="18"/>
      <c r="F1133" s="18"/>
      <c r="G1133" s="18"/>
      <c r="H1133" s="18"/>
      <c r="I1133" s="18"/>
      <c r="J1133" s="18"/>
      <c r="K1133" s="18"/>
      <c r="L1133" s="10"/>
      <c r="M1133" s="18"/>
      <c r="N1133" s="10" t="s">
        <v>883</v>
      </c>
      <c r="O1133" s="18">
        <v>6366176.1500000004</v>
      </c>
      <c r="P1133" s="18"/>
      <c r="Q1133" s="18"/>
      <c r="R1133" s="18"/>
      <c r="S1133" s="18"/>
    </row>
    <row r="1134" spans="1:19" x14ac:dyDescent="0.25">
      <c r="A1134" s="9" t="s">
        <v>341</v>
      </c>
      <c r="B1134" s="17" t="s">
        <v>513</v>
      </c>
      <c r="C1134" s="18">
        <f t="shared" si="78"/>
        <v>2567706.13</v>
      </c>
      <c r="D1134" s="18"/>
      <c r="E1134" s="18"/>
      <c r="F1134" s="18"/>
      <c r="G1134" s="18"/>
      <c r="H1134" s="18"/>
      <c r="I1134" s="18"/>
      <c r="J1134" s="18"/>
      <c r="K1134" s="18"/>
      <c r="L1134" s="10"/>
      <c r="M1134" s="18"/>
      <c r="N1134" s="10"/>
      <c r="O1134" s="18"/>
      <c r="P1134" s="18"/>
      <c r="Q1134" s="18">
        <v>2567706.13</v>
      </c>
      <c r="R1134" s="18"/>
      <c r="S1134" s="18"/>
    </row>
    <row r="1135" spans="1:19" x14ac:dyDescent="0.25">
      <c r="A1135" s="9" t="s">
        <v>343</v>
      </c>
      <c r="B1135" s="17" t="s">
        <v>515</v>
      </c>
      <c r="C1135" s="18">
        <f t="shared" si="78"/>
        <v>7099665.2199999997</v>
      </c>
      <c r="D1135" s="18"/>
      <c r="E1135" s="18"/>
      <c r="F1135" s="18"/>
      <c r="G1135" s="18"/>
      <c r="H1135" s="18"/>
      <c r="I1135" s="18"/>
      <c r="J1135" s="18"/>
      <c r="K1135" s="18"/>
      <c r="L1135" s="10"/>
      <c r="M1135" s="18"/>
      <c r="N1135" s="10"/>
      <c r="O1135" s="18"/>
      <c r="P1135" s="18"/>
      <c r="Q1135" s="18"/>
      <c r="R1135" s="18">
        <v>7099665.2199999997</v>
      </c>
      <c r="S1135" s="18"/>
    </row>
    <row r="1136" spans="1:19" x14ac:dyDescent="0.25">
      <c r="A1136" s="9" t="s">
        <v>345</v>
      </c>
      <c r="B1136" s="17" t="s">
        <v>521</v>
      </c>
      <c r="C1136" s="18">
        <f t="shared" si="78"/>
        <v>6140462.5300000003</v>
      </c>
      <c r="D1136" s="18"/>
      <c r="E1136" s="18"/>
      <c r="F1136" s="18"/>
      <c r="G1136" s="18">
        <v>1182449.42</v>
      </c>
      <c r="H1136" s="18">
        <v>702650.28</v>
      </c>
      <c r="I1136" s="18">
        <v>347796.69</v>
      </c>
      <c r="J1136" s="18"/>
      <c r="K1136" s="18"/>
      <c r="L1136" s="10"/>
      <c r="M1136" s="18"/>
      <c r="N1136" s="10"/>
      <c r="O1136" s="18"/>
      <c r="P1136" s="18"/>
      <c r="Q1136" s="18">
        <v>3907566.14</v>
      </c>
      <c r="R1136" s="18"/>
      <c r="S1136" s="18"/>
    </row>
    <row r="1137" spans="1:19" x14ac:dyDescent="0.25">
      <c r="A1137" s="9" t="s">
        <v>347</v>
      </c>
      <c r="B1137" s="17" t="s">
        <v>533</v>
      </c>
      <c r="C1137" s="18">
        <f t="shared" si="78"/>
        <v>30241073.809999999</v>
      </c>
      <c r="D1137" s="18"/>
      <c r="E1137" s="18"/>
      <c r="F1137" s="18"/>
      <c r="G1137" s="18">
        <v>7978311.6900000004</v>
      </c>
      <c r="H1137" s="18">
        <v>2547916.73</v>
      </c>
      <c r="I1137" s="18">
        <v>1500346.75</v>
      </c>
      <c r="J1137" s="18">
        <v>1222036.49</v>
      </c>
      <c r="K1137" s="18"/>
      <c r="L1137" s="10"/>
      <c r="M1137" s="18"/>
      <c r="N1137" s="10"/>
      <c r="O1137" s="18"/>
      <c r="P1137" s="18"/>
      <c r="Q1137" s="18">
        <v>16992462.149999999</v>
      </c>
      <c r="R1137" s="18"/>
      <c r="S1137" s="18"/>
    </row>
    <row r="1138" spans="1:19" ht="30" x14ac:dyDescent="0.25">
      <c r="A1138" s="9"/>
      <c r="B1138" s="50" t="s">
        <v>2082</v>
      </c>
      <c r="C1138" s="18">
        <f>ROUND(D1138+E1138+F1138+G1138+H1138+I1138+J1138+K1138+M1138+O1138+P1138+Q1138+R1138+S1138,2)</f>
        <v>71478990.75</v>
      </c>
      <c r="D1138" s="18">
        <f t="shared" ref="D1138:S1138" si="79">SUM(D1130:D1137)</f>
        <v>0</v>
      </c>
      <c r="E1138" s="18">
        <f t="shared" si="79"/>
        <v>0</v>
      </c>
      <c r="F1138" s="18">
        <f t="shared" si="79"/>
        <v>0</v>
      </c>
      <c r="G1138" s="18">
        <f t="shared" si="79"/>
        <v>9160761.1099999994</v>
      </c>
      <c r="H1138" s="18">
        <f t="shared" si="79"/>
        <v>5117471.8100000005</v>
      </c>
      <c r="I1138" s="18">
        <f t="shared" si="79"/>
        <v>3059026.24</v>
      </c>
      <c r="J1138" s="18">
        <f t="shared" si="79"/>
        <v>2715837.29</v>
      </c>
      <c r="K1138" s="18">
        <f t="shared" si="79"/>
        <v>0</v>
      </c>
      <c r="L1138" s="10">
        <f t="shared" si="79"/>
        <v>0</v>
      </c>
      <c r="M1138" s="18">
        <f t="shared" si="79"/>
        <v>0</v>
      </c>
      <c r="N1138" s="18" t="s">
        <v>42</v>
      </c>
      <c r="O1138" s="18">
        <f t="shared" si="79"/>
        <v>12613048.970000001</v>
      </c>
      <c r="P1138" s="18">
        <f t="shared" si="79"/>
        <v>8245445.6899999995</v>
      </c>
      <c r="Q1138" s="18">
        <f t="shared" si="79"/>
        <v>23467734.419999998</v>
      </c>
      <c r="R1138" s="18">
        <f t="shared" si="79"/>
        <v>7099665.2199999997</v>
      </c>
      <c r="S1138" s="18">
        <f t="shared" si="79"/>
        <v>0</v>
      </c>
    </row>
    <row r="1139" spans="1:19" x14ac:dyDescent="0.25">
      <c r="A1139" s="9"/>
      <c r="B1139" s="46" t="s">
        <v>547</v>
      </c>
      <c r="C1139" s="19"/>
      <c r="D1139" s="13"/>
      <c r="E1139" s="13"/>
      <c r="F1139" s="13"/>
      <c r="G1139" s="13"/>
      <c r="H1139" s="13"/>
      <c r="I1139" s="13"/>
      <c r="J1139" s="13"/>
      <c r="K1139" s="13"/>
      <c r="L1139" s="14"/>
      <c r="M1139" s="13"/>
      <c r="N1139" s="14"/>
      <c r="O1139" s="13"/>
      <c r="P1139" s="13"/>
      <c r="Q1139" s="13"/>
      <c r="R1139" s="13"/>
      <c r="S1139" s="13"/>
    </row>
    <row r="1140" spans="1:19" ht="15" customHeight="1" x14ac:dyDescent="0.25">
      <c r="A1140" s="9" t="s">
        <v>349</v>
      </c>
      <c r="B1140" s="17" t="s">
        <v>551</v>
      </c>
      <c r="C1140" s="18">
        <f t="shared" ref="C1140:C1171" si="80">ROUNDUP(SUM(D1140+E1140+F1140+G1140+H1140+I1140+J1140+K1140+M1140+O1140+P1140+Q1140+R1140+S1140),2)</f>
        <v>9923866.9499999993</v>
      </c>
      <c r="D1140" s="18">
        <v>200778.55</v>
      </c>
      <c r="E1140" s="18"/>
      <c r="F1140" s="18"/>
      <c r="G1140" s="18"/>
      <c r="H1140" s="18"/>
      <c r="I1140" s="18"/>
      <c r="J1140" s="18"/>
      <c r="K1140" s="18"/>
      <c r="L1140" s="10">
        <v>2</v>
      </c>
      <c r="M1140" s="18">
        <v>9723088.4000000004</v>
      </c>
      <c r="N1140" s="10"/>
      <c r="O1140" s="18"/>
      <c r="P1140" s="18"/>
      <c r="Q1140" s="18"/>
      <c r="R1140" s="18"/>
      <c r="S1140" s="18"/>
    </row>
    <row r="1141" spans="1:19" ht="15" customHeight="1" x14ac:dyDescent="0.25">
      <c r="A1141" s="9" t="s">
        <v>351</v>
      </c>
      <c r="B1141" s="17" t="s">
        <v>554</v>
      </c>
      <c r="C1141" s="18">
        <f t="shared" si="80"/>
        <v>27374631.25</v>
      </c>
      <c r="D1141" s="18"/>
      <c r="E1141" s="18"/>
      <c r="F1141" s="18">
        <v>5294355.37</v>
      </c>
      <c r="G1141" s="18"/>
      <c r="H1141" s="18"/>
      <c r="I1141" s="18"/>
      <c r="J1141" s="18"/>
      <c r="K1141" s="18"/>
      <c r="L1141" s="10"/>
      <c r="M1141" s="18"/>
      <c r="N1141" s="10" t="s">
        <v>552</v>
      </c>
      <c r="O1141" s="18">
        <v>14922520.619999999</v>
      </c>
      <c r="P1141" s="18">
        <v>7157755.2599999998</v>
      </c>
      <c r="Q1141" s="18"/>
      <c r="R1141" s="18"/>
      <c r="S1141" s="18"/>
    </row>
    <row r="1142" spans="1:19" x14ac:dyDescent="0.25">
      <c r="A1142" s="9" t="s">
        <v>353</v>
      </c>
      <c r="B1142" s="17" t="s">
        <v>556</v>
      </c>
      <c r="C1142" s="18">
        <f t="shared" si="80"/>
        <v>13770067.99</v>
      </c>
      <c r="D1142" s="18">
        <v>267221.34000000003</v>
      </c>
      <c r="E1142" s="18"/>
      <c r="F1142" s="18"/>
      <c r="G1142" s="18"/>
      <c r="H1142" s="18"/>
      <c r="I1142" s="18"/>
      <c r="J1142" s="18"/>
      <c r="K1142" s="18"/>
      <c r="L1142" s="10"/>
      <c r="M1142" s="18"/>
      <c r="N1142" s="10" t="s">
        <v>552</v>
      </c>
      <c r="O1142" s="18">
        <v>13502846.65</v>
      </c>
      <c r="P1142" s="18"/>
      <c r="Q1142" s="18"/>
      <c r="R1142" s="18"/>
      <c r="S1142" s="18"/>
    </row>
    <row r="1143" spans="1:19" x14ac:dyDescent="0.25">
      <c r="A1143" s="9" t="s">
        <v>356</v>
      </c>
      <c r="B1143" s="17" t="s">
        <v>560</v>
      </c>
      <c r="C1143" s="18">
        <f t="shared" si="80"/>
        <v>14936664.16</v>
      </c>
      <c r="D1143" s="18">
        <v>302210.48</v>
      </c>
      <c r="E1143" s="18"/>
      <c r="F1143" s="18"/>
      <c r="G1143" s="18"/>
      <c r="H1143" s="18"/>
      <c r="I1143" s="18"/>
      <c r="J1143" s="18"/>
      <c r="K1143" s="18"/>
      <c r="L1143" s="10">
        <v>3</v>
      </c>
      <c r="M1143" s="18">
        <v>14634453.68</v>
      </c>
      <c r="N1143" s="10"/>
      <c r="O1143" s="18"/>
      <c r="P1143" s="18"/>
      <c r="Q1143" s="18"/>
      <c r="R1143" s="18"/>
      <c r="S1143" s="18"/>
    </row>
    <row r="1144" spans="1:19" ht="15" customHeight="1" x14ac:dyDescent="0.25">
      <c r="A1144" s="9" t="s">
        <v>358</v>
      </c>
      <c r="B1144" s="17" t="s">
        <v>1910</v>
      </c>
      <c r="C1144" s="18">
        <f t="shared" si="80"/>
        <v>669926.6</v>
      </c>
      <c r="D1144" s="18"/>
      <c r="E1144" s="18">
        <v>669926.6</v>
      </c>
      <c r="F1144" s="18"/>
      <c r="G1144" s="18"/>
      <c r="H1144" s="18"/>
      <c r="I1144" s="18"/>
      <c r="J1144" s="18"/>
      <c r="K1144" s="18"/>
      <c r="L1144" s="10"/>
      <c r="M1144" s="18"/>
      <c r="N1144" s="10"/>
      <c r="O1144" s="18"/>
      <c r="P1144" s="18"/>
      <c r="Q1144" s="18"/>
      <c r="R1144" s="18"/>
      <c r="S1144" s="18"/>
    </row>
    <row r="1145" spans="1:19" x14ac:dyDescent="0.25">
      <c r="A1145" s="9" t="s">
        <v>360</v>
      </c>
      <c r="B1145" s="17" t="s">
        <v>584</v>
      </c>
      <c r="C1145" s="18">
        <f t="shared" si="80"/>
        <v>19738049.050000001</v>
      </c>
      <c r="D1145" s="18"/>
      <c r="E1145" s="18"/>
      <c r="F1145" s="18"/>
      <c r="G1145" s="18"/>
      <c r="H1145" s="18"/>
      <c r="I1145" s="18"/>
      <c r="J1145" s="18"/>
      <c r="K1145" s="18"/>
      <c r="L1145" s="10"/>
      <c r="M1145" s="18"/>
      <c r="N1145" s="10" t="s">
        <v>552</v>
      </c>
      <c r="O1145" s="18">
        <v>19738049.050000001</v>
      </c>
      <c r="P1145" s="18"/>
      <c r="Q1145" s="18"/>
      <c r="R1145" s="18"/>
      <c r="S1145" s="18"/>
    </row>
    <row r="1146" spans="1:19" x14ac:dyDescent="0.25">
      <c r="A1146" s="9" t="s">
        <v>362</v>
      </c>
      <c r="B1146" s="17" t="s">
        <v>586</v>
      </c>
      <c r="C1146" s="18">
        <f t="shared" si="80"/>
        <v>18320629.109999999</v>
      </c>
      <c r="D1146" s="18"/>
      <c r="E1146" s="18"/>
      <c r="F1146" s="18"/>
      <c r="G1146" s="18"/>
      <c r="H1146" s="18"/>
      <c r="I1146" s="18"/>
      <c r="J1146" s="18"/>
      <c r="K1146" s="18"/>
      <c r="L1146" s="10"/>
      <c r="M1146" s="18"/>
      <c r="N1146" s="10" t="s">
        <v>552</v>
      </c>
      <c r="O1146" s="18">
        <v>8586702.0399999991</v>
      </c>
      <c r="P1146" s="18"/>
      <c r="Q1146" s="18">
        <v>9733927.0700000003</v>
      </c>
      <c r="R1146" s="18"/>
      <c r="S1146" s="18"/>
    </row>
    <row r="1147" spans="1:19" x14ac:dyDescent="0.25">
      <c r="A1147" s="9" t="s">
        <v>364</v>
      </c>
      <c r="B1147" s="17" t="s">
        <v>588</v>
      </c>
      <c r="C1147" s="18">
        <f t="shared" si="80"/>
        <v>44134382.350000001</v>
      </c>
      <c r="D1147" s="18"/>
      <c r="E1147" s="18"/>
      <c r="F1147" s="18"/>
      <c r="G1147" s="18"/>
      <c r="H1147" s="18"/>
      <c r="I1147" s="18"/>
      <c r="J1147" s="18"/>
      <c r="K1147" s="18"/>
      <c r="L1147" s="10"/>
      <c r="M1147" s="18"/>
      <c r="N1147" s="10" t="s">
        <v>883</v>
      </c>
      <c r="O1147" s="18">
        <v>16003274.800000001</v>
      </c>
      <c r="P1147" s="18"/>
      <c r="Q1147" s="18"/>
      <c r="R1147" s="18">
        <v>28131107.550000001</v>
      </c>
      <c r="S1147" s="18"/>
    </row>
    <row r="1148" spans="1:19" x14ac:dyDescent="0.25">
      <c r="A1148" s="9" t="s">
        <v>366</v>
      </c>
      <c r="B1148" s="17" t="s">
        <v>590</v>
      </c>
      <c r="C1148" s="18">
        <f t="shared" si="80"/>
        <v>26918535.789999999</v>
      </c>
      <c r="D1148" s="18"/>
      <c r="E1148" s="18"/>
      <c r="F1148" s="18"/>
      <c r="G1148" s="18"/>
      <c r="H1148" s="18"/>
      <c r="I1148" s="18"/>
      <c r="J1148" s="18"/>
      <c r="K1148" s="18"/>
      <c r="L1148" s="10"/>
      <c r="M1148" s="18"/>
      <c r="N1148" s="10" t="s">
        <v>883</v>
      </c>
      <c r="O1148" s="18">
        <v>15843082.75</v>
      </c>
      <c r="P1148" s="18"/>
      <c r="Q1148" s="18">
        <v>11075453.039999999</v>
      </c>
      <c r="R1148" s="18"/>
      <c r="S1148" s="18"/>
    </row>
    <row r="1149" spans="1:19" x14ac:dyDescent="0.25">
      <c r="A1149" s="9" t="s">
        <v>368</v>
      </c>
      <c r="B1149" s="17" t="s">
        <v>594</v>
      </c>
      <c r="C1149" s="18">
        <f t="shared" si="80"/>
        <v>22912296.469999999</v>
      </c>
      <c r="D1149" s="18"/>
      <c r="E1149" s="18">
        <v>647625.36</v>
      </c>
      <c r="F1149" s="18"/>
      <c r="G1149" s="18"/>
      <c r="H1149" s="18"/>
      <c r="I1149" s="18"/>
      <c r="J1149" s="18"/>
      <c r="K1149" s="18"/>
      <c r="L1149" s="10"/>
      <c r="M1149" s="18"/>
      <c r="N1149" s="10"/>
      <c r="O1149" s="18"/>
      <c r="P1149" s="18"/>
      <c r="Q1149" s="18">
        <v>22264671.109999999</v>
      </c>
      <c r="R1149" s="18"/>
      <c r="S1149" s="18"/>
    </row>
    <row r="1150" spans="1:19" x14ac:dyDescent="0.25">
      <c r="A1150" s="9" t="s">
        <v>370</v>
      </c>
      <c r="B1150" s="17" t="s">
        <v>606</v>
      </c>
      <c r="C1150" s="18">
        <f t="shared" si="80"/>
        <v>12423418.460000001</v>
      </c>
      <c r="D1150" s="18"/>
      <c r="E1150" s="18"/>
      <c r="F1150" s="18"/>
      <c r="G1150" s="18">
        <v>6152000.4500000002</v>
      </c>
      <c r="H1150" s="18">
        <v>1937121.09</v>
      </c>
      <c r="I1150" s="18">
        <v>853079.95</v>
      </c>
      <c r="J1150" s="18">
        <v>3481216.97</v>
      </c>
      <c r="K1150" s="18"/>
      <c r="L1150" s="10"/>
      <c r="M1150" s="18"/>
      <c r="N1150" s="10"/>
      <c r="O1150" s="18"/>
      <c r="P1150" s="18"/>
      <c r="Q1150" s="18"/>
      <c r="R1150" s="18"/>
      <c r="S1150" s="18"/>
    </row>
    <row r="1151" spans="1:19" x14ac:dyDescent="0.25">
      <c r="A1151" s="9" t="s">
        <v>372</v>
      </c>
      <c r="B1151" s="17" t="s">
        <v>602</v>
      </c>
      <c r="C1151" s="18">
        <f t="shared" si="80"/>
        <v>5247336.59</v>
      </c>
      <c r="D1151" s="18"/>
      <c r="E1151" s="18"/>
      <c r="F1151" s="18"/>
      <c r="G1151" s="18"/>
      <c r="H1151" s="18"/>
      <c r="I1151" s="18"/>
      <c r="J1151" s="18"/>
      <c r="K1151" s="18"/>
      <c r="L1151" s="10"/>
      <c r="M1151" s="18"/>
      <c r="N1151" s="18" t="s">
        <v>883</v>
      </c>
      <c r="O1151" s="18">
        <v>5247336.59</v>
      </c>
      <c r="P1151" s="18"/>
      <c r="Q1151" s="18"/>
      <c r="R1151" s="18"/>
      <c r="S1151" s="18"/>
    </row>
    <row r="1152" spans="1:19" x14ac:dyDescent="0.25">
      <c r="A1152" s="9" t="s">
        <v>374</v>
      </c>
      <c r="B1152" s="17" t="s">
        <v>610</v>
      </c>
      <c r="C1152" s="18">
        <f t="shared" si="80"/>
        <v>30618680.32</v>
      </c>
      <c r="D1152" s="18"/>
      <c r="E1152" s="18"/>
      <c r="F1152" s="18">
        <v>7328096.6200000001</v>
      </c>
      <c r="G1152" s="18"/>
      <c r="H1152" s="18"/>
      <c r="I1152" s="18"/>
      <c r="J1152" s="18">
        <v>1593803.1</v>
      </c>
      <c r="K1152" s="18"/>
      <c r="L1152" s="10"/>
      <c r="M1152" s="18"/>
      <c r="N1152" s="10"/>
      <c r="O1152" s="18"/>
      <c r="P1152" s="18"/>
      <c r="Q1152" s="18">
        <v>21696780.600000001</v>
      </c>
      <c r="R1152" s="18"/>
      <c r="S1152" s="18"/>
    </row>
    <row r="1153" spans="1:19" x14ac:dyDescent="0.25">
      <c r="A1153" s="9" t="s">
        <v>376</v>
      </c>
      <c r="B1153" s="17" t="s">
        <v>612</v>
      </c>
      <c r="C1153" s="18">
        <f t="shared" si="80"/>
        <v>34810634.390000001</v>
      </c>
      <c r="D1153" s="18">
        <v>721997.33</v>
      </c>
      <c r="E1153" s="18"/>
      <c r="F1153" s="18">
        <v>5229124.66</v>
      </c>
      <c r="G1153" s="18"/>
      <c r="H1153" s="18"/>
      <c r="I1153" s="18"/>
      <c r="J1153" s="18"/>
      <c r="K1153" s="18"/>
      <c r="L1153" s="10"/>
      <c r="M1153" s="18"/>
      <c r="N1153" s="10" t="s">
        <v>883</v>
      </c>
      <c r="O1153" s="18">
        <v>13450091.220000001</v>
      </c>
      <c r="P1153" s="18"/>
      <c r="Q1153" s="18">
        <v>15409421.18</v>
      </c>
      <c r="R1153" s="18"/>
      <c r="S1153" s="18"/>
    </row>
    <row r="1154" spans="1:19" x14ac:dyDescent="0.25">
      <c r="A1154" s="9" t="s">
        <v>378</v>
      </c>
      <c r="B1154" s="17" t="s">
        <v>614</v>
      </c>
      <c r="C1154" s="18">
        <f t="shared" si="80"/>
        <v>26361647.859999999</v>
      </c>
      <c r="D1154" s="18">
        <v>533819.54</v>
      </c>
      <c r="E1154" s="18"/>
      <c r="F1154" s="18"/>
      <c r="G1154" s="18"/>
      <c r="H1154" s="18"/>
      <c r="I1154" s="18"/>
      <c r="J1154" s="18"/>
      <c r="K1154" s="18"/>
      <c r="L1154" s="10">
        <v>3</v>
      </c>
      <c r="M1154" s="18">
        <v>25827828.32</v>
      </c>
      <c r="N1154" s="10"/>
      <c r="O1154" s="18"/>
      <c r="P1154" s="18"/>
      <c r="Q1154" s="18"/>
      <c r="R1154" s="18"/>
      <c r="S1154" s="18"/>
    </row>
    <row r="1155" spans="1:19" x14ac:dyDescent="0.25">
      <c r="A1155" s="9" t="s">
        <v>380</v>
      </c>
      <c r="B1155" s="17" t="s">
        <v>616</v>
      </c>
      <c r="C1155" s="18">
        <f t="shared" si="80"/>
        <v>9621191.9199999999</v>
      </c>
      <c r="D1155" s="18">
        <v>194561.82</v>
      </c>
      <c r="E1155" s="18"/>
      <c r="F1155" s="18"/>
      <c r="G1155" s="18"/>
      <c r="H1155" s="18"/>
      <c r="I1155" s="18"/>
      <c r="J1155" s="18"/>
      <c r="K1155" s="18"/>
      <c r="L1155" s="10">
        <v>2</v>
      </c>
      <c r="M1155" s="18">
        <v>9426630.0999999996</v>
      </c>
      <c r="N1155" s="10"/>
      <c r="O1155" s="18"/>
      <c r="P1155" s="18"/>
      <c r="Q1155" s="18"/>
      <c r="R1155" s="18"/>
      <c r="S1155" s="18"/>
    </row>
    <row r="1156" spans="1:19" x14ac:dyDescent="0.25">
      <c r="A1156" s="9" t="s">
        <v>382</v>
      </c>
      <c r="B1156" s="17" t="s">
        <v>620</v>
      </c>
      <c r="C1156" s="18">
        <f t="shared" si="80"/>
        <v>38032518.719999999</v>
      </c>
      <c r="D1156" s="18">
        <v>788821.5</v>
      </c>
      <c r="E1156" s="18"/>
      <c r="F1156" s="18"/>
      <c r="G1156" s="18"/>
      <c r="H1156" s="18"/>
      <c r="I1156" s="18"/>
      <c r="J1156" s="18">
        <v>1160775.3999999999</v>
      </c>
      <c r="K1156" s="18"/>
      <c r="L1156" s="10"/>
      <c r="M1156" s="18"/>
      <c r="N1156" s="10" t="s">
        <v>552</v>
      </c>
      <c r="O1156" s="18">
        <v>9069037.4499999993</v>
      </c>
      <c r="P1156" s="18"/>
      <c r="Q1156" s="18"/>
      <c r="R1156" s="18">
        <v>27013884.370000001</v>
      </c>
      <c r="S1156" s="18"/>
    </row>
    <row r="1157" spans="1:19" x14ac:dyDescent="0.25">
      <c r="A1157" s="9" t="s">
        <v>384</v>
      </c>
      <c r="B1157" s="17" t="s">
        <v>622</v>
      </c>
      <c r="C1157" s="18">
        <f t="shared" si="80"/>
        <v>24543895.890000001</v>
      </c>
      <c r="D1157" s="18">
        <v>509057.87</v>
      </c>
      <c r="E1157" s="18"/>
      <c r="F1157" s="18"/>
      <c r="G1157" s="18"/>
      <c r="H1157" s="18"/>
      <c r="I1157" s="18"/>
      <c r="J1157" s="18">
        <v>937335.14</v>
      </c>
      <c r="K1157" s="18"/>
      <c r="L1157" s="10"/>
      <c r="M1157" s="18"/>
      <c r="N1157" s="10" t="s">
        <v>883</v>
      </c>
      <c r="O1157" s="18">
        <v>10802692.359999999</v>
      </c>
      <c r="P1157" s="18"/>
      <c r="Q1157" s="18">
        <v>12294810.52</v>
      </c>
      <c r="R1157" s="18"/>
      <c r="S1157" s="18"/>
    </row>
    <row r="1158" spans="1:19" x14ac:dyDescent="0.25">
      <c r="A1158" s="9" t="s">
        <v>386</v>
      </c>
      <c r="B1158" s="17" t="s">
        <v>624</v>
      </c>
      <c r="C1158" s="18">
        <f t="shared" si="80"/>
        <v>25616970.09</v>
      </c>
      <c r="D1158" s="18"/>
      <c r="E1158" s="18"/>
      <c r="F1158" s="18"/>
      <c r="G1158" s="18"/>
      <c r="H1158" s="18">
        <v>2210935.66</v>
      </c>
      <c r="I1158" s="18"/>
      <c r="J1158" s="18"/>
      <c r="K1158" s="18"/>
      <c r="L1158" s="10"/>
      <c r="M1158" s="18"/>
      <c r="N1158" s="10" t="s">
        <v>883</v>
      </c>
      <c r="O1158" s="18">
        <v>11127433.539999999</v>
      </c>
      <c r="P1158" s="18"/>
      <c r="Q1158" s="18">
        <v>12278600.890000001</v>
      </c>
      <c r="R1158" s="18"/>
      <c r="S1158" s="18"/>
    </row>
    <row r="1159" spans="1:19" x14ac:dyDescent="0.25">
      <c r="A1159" s="9" t="s">
        <v>388</v>
      </c>
      <c r="B1159" s="17" t="s">
        <v>626</v>
      </c>
      <c r="C1159" s="18">
        <f t="shared" si="80"/>
        <v>33232173.829999998</v>
      </c>
      <c r="D1159" s="18">
        <v>352141.69</v>
      </c>
      <c r="E1159" s="18"/>
      <c r="F1159" s="18"/>
      <c r="G1159" s="18"/>
      <c r="H1159" s="18"/>
      <c r="I1159" s="18"/>
      <c r="J1159" s="18"/>
      <c r="K1159" s="18"/>
      <c r="L1159" s="10"/>
      <c r="M1159" s="18"/>
      <c r="N1159" s="10" t="s">
        <v>883</v>
      </c>
      <c r="O1159" s="18">
        <v>15086111.560000001</v>
      </c>
      <c r="P1159" s="18"/>
      <c r="Q1159" s="18">
        <v>17793920.579999998</v>
      </c>
      <c r="R1159" s="18"/>
      <c r="S1159" s="18"/>
    </row>
    <row r="1160" spans="1:19" x14ac:dyDescent="0.25">
      <c r="A1160" s="9" t="s">
        <v>390</v>
      </c>
      <c r="B1160" s="17" t="s">
        <v>634</v>
      </c>
      <c r="C1160" s="18">
        <f t="shared" si="80"/>
        <v>45023105.409999996</v>
      </c>
      <c r="D1160" s="18">
        <v>327255.83</v>
      </c>
      <c r="E1160" s="18"/>
      <c r="F1160" s="18"/>
      <c r="G1160" s="18">
        <v>4377515.22</v>
      </c>
      <c r="H1160" s="18"/>
      <c r="I1160" s="18"/>
      <c r="J1160" s="18">
        <v>1563537.14</v>
      </c>
      <c r="K1160" s="18"/>
      <c r="L1160" s="10"/>
      <c r="M1160" s="18"/>
      <c r="N1160" s="10" t="s">
        <v>883</v>
      </c>
      <c r="O1160" s="18">
        <v>16430504.380000001</v>
      </c>
      <c r="P1160" s="18">
        <v>5787868.6600000001</v>
      </c>
      <c r="Q1160" s="18">
        <v>16536424.18</v>
      </c>
      <c r="R1160" s="18"/>
      <c r="S1160" s="18"/>
    </row>
    <row r="1161" spans="1:19" x14ac:dyDescent="0.25">
      <c r="A1161" s="9" t="s">
        <v>392</v>
      </c>
      <c r="B1161" s="17" t="s">
        <v>636</v>
      </c>
      <c r="C1161" s="18">
        <f t="shared" si="80"/>
        <v>18644640.989999998</v>
      </c>
      <c r="D1161" s="18">
        <v>361817.09</v>
      </c>
      <c r="E1161" s="18"/>
      <c r="F1161" s="18"/>
      <c r="G1161" s="18"/>
      <c r="H1161" s="18"/>
      <c r="I1161" s="18"/>
      <c r="J1161" s="18"/>
      <c r="K1161" s="18"/>
      <c r="L1161" s="10"/>
      <c r="M1161" s="18"/>
      <c r="N1161" s="10" t="s">
        <v>883</v>
      </c>
      <c r="O1161" s="18">
        <v>10720056.279999999</v>
      </c>
      <c r="P1161" s="18"/>
      <c r="Q1161" s="18">
        <v>7562767.6200000001</v>
      </c>
      <c r="R1161" s="18"/>
      <c r="S1161" s="18"/>
    </row>
    <row r="1162" spans="1:19" x14ac:dyDescent="0.25">
      <c r="A1162" s="9" t="s">
        <v>394</v>
      </c>
      <c r="B1162" s="17" t="s">
        <v>638</v>
      </c>
      <c r="C1162" s="18">
        <f t="shared" si="80"/>
        <v>23978212.890000001</v>
      </c>
      <c r="D1162" s="18">
        <v>497325.21</v>
      </c>
      <c r="E1162" s="18"/>
      <c r="F1162" s="18"/>
      <c r="G1162" s="18"/>
      <c r="H1162" s="18"/>
      <c r="I1162" s="18"/>
      <c r="J1162" s="18"/>
      <c r="K1162" s="18"/>
      <c r="L1162" s="10"/>
      <c r="M1162" s="18"/>
      <c r="N1162" s="10" t="s">
        <v>883</v>
      </c>
      <c r="O1162" s="18">
        <v>9656602.3599999994</v>
      </c>
      <c r="P1162" s="18"/>
      <c r="Q1162" s="18"/>
      <c r="R1162" s="18">
        <v>13824285.319999998</v>
      </c>
      <c r="S1162" s="18"/>
    </row>
    <row r="1163" spans="1:19" x14ac:dyDescent="0.25">
      <c r="A1163" s="9" t="s">
        <v>396</v>
      </c>
      <c r="B1163" s="17" t="s">
        <v>642</v>
      </c>
      <c r="C1163" s="18">
        <f t="shared" si="80"/>
        <v>14936640.85</v>
      </c>
      <c r="D1163" s="18">
        <v>302210</v>
      </c>
      <c r="E1163" s="18"/>
      <c r="F1163" s="18"/>
      <c r="G1163" s="18"/>
      <c r="H1163" s="18"/>
      <c r="I1163" s="18"/>
      <c r="J1163" s="18"/>
      <c r="K1163" s="18"/>
      <c r="L1163" s="10">
        <v>3</v>
      </c>
      <c r="M1163" s="18">
        <v>14634430.85</v>
      </c>
      <c r="N1163" s="10"/>
      <c r="O1163" s="18"/>
      <c r="P1163" s="18"/>
      <c r="Q1163" s="18"/>
      <c r="R1163" s="18"/>
      <c r="S1163" s="18"/>
    </row>
    <row r="1164" spans="1:19" x14ac:dyDescent="0.25">
      <c r="A1164" s="9" t="s">
        <v>398</v>
      </c>
      <c r="B1164" s="17" t="s">
        <v>644</v>
      </c>
      <c r="C1164" s="18">
        <f t="shared" si="80"/>
        <v>14936640.85</v>
      </c>
      <c r="D1164" s="18">
        <v>302210</v>
      </c>
      <c r="E1164" s="18"/>
      <c r="F1164" s="18"/>
      <c r="G1164" s="18"/>
      <c r="H1164" s="18"/>
      <c r="I1164" s="18"/>
      <c r="J1164" s="18"/>
      <c r="K1164" s="18"/>
      <c r="L1164" s="10">
        <v>3</v>
      </c>
      <c r="M1164" s="18">
        <v>14634430.85</v>
      </c>
      <c r="N1164" s="10"/>
      <c r="O1164" s="18"/>
      <c r="P1164" s="18"/>
      <c r="Q1164" s="18"/>
      <c r="R1164" s="18"/>
      <c r="S1164" s="18"/>
    </row>
    <row r="1165" spans="1:19" x14ac:dyDescent="0.25">
      <c r="A1165" s="9" t="s">
        <v>400</v>
      </c>
      <c r="B1165" s="17" t="s">
        <v>646</v>
      </c>
      <c r="C1165" s="18">
        <f t="shared" si="80"/>
        <v>22343361.329999998</v>
      </c>
      <c r="D1165" s="18"/>
      <c r="E1165" s="18"/>
      <c r="F1165" s="18"/>
      <c r="G1165" s="18"/>
      <c r="H1165" s="18"/>
      <c r="I1165" s="18"/>
      <c r="J1165" s="18"/>
      <c r="K1165" s="18"/>
      <c r="L1165" s="10"/>
      <c r="M1165" s="18"/>
      <c r="N1165" s="18" t="s">
        <v>552</v>
      </c>
      <c r="O1165" s="18">
        <v>16651240.27</v>
      </c>
      <c r="P1165" s="18">
        <v>5692121.0599999996</v>
      </c>
      <c r="Q1165" s="18"/>
      <c r="R1165" s="18"/>
      <c r="S1165" s="18"/>
    </row>
    <row r="1166" spans="1:19" x14ac:dyDescent="0.25">
      <c r="A1166" s="9" t="s">
        <v>402</v>
      </c>
      <c r="B1166" s="17" t="s">
        <v>654</v>
      </c>
      <c r="C1166" s="18">
        <f t="shared" si="80"/>
        <v>8344054.5</v>
      </c>
      <c r="D1166" s="18"/>
      <c r="E1166" s="18"/>
      <c r="F1166" s="18"/>
      <c r="G1166" s="18">
        <v>5079843.66</v>
      </c>
      <c r="H1166" s="18">
        <v>2202437.54</v>
      </c>
      <c r="I1166" s="18">
        <v>1061773.3</v>
      </c>
      <c r="J1166" s="18"/>
      <c r="K1166" s="18"/>
      <c r="L1166" s="10"/>
      <c r="M1166" s="18"/>
      <c r="N1166" s="18"/>
      <c r="O1166" s="18"/>
      <c r="P1166" s="18"/>
      <c r="Q1166" s="18"/>
      <c r="R1166" s="18"/>
      <c r="S1166" s="18"/>
    </row>
    <row r="1167" spans="1:19" x14ac:dyDescent="0.25">
      <c r="A1167" s="9" t="s">
        <v>404</v>
      </c>
      <c r="B1167" s="17" t="s">
        <v>658</v>
      </c>
      <c r="C1167" s="18">
        <f t="shared" si="80"/>
        <v>25468945.920000002</v>
      </c>
      <c r="D1167" s="18">
        <v>389098.32</v>
      </c>
      <c r="E1167" s="18"/>
      <c r="F1167" s="18"/>
      <c r="G1167" s="18"/>
      <c r="H1167" s="18"/>
      <c r="I1167" s="18"/>
      <c r="J1167" s="18">
        <v>2305124.8199999998</v>
      </c>
      <c r="K1167" s="18"/>
      <c r="L1167" s="10"/>
      <c r="M1167" s="18"/>
      <c r="N1167" s="10"/>
      <c r="O1167" s="18"/>
      <c r="P1167" s="18">
        <v>4403697.41</v>
      </c>
      <c r="Q1167" s="18">
        <v>18371025.370000001</v>
      </c>
      <c r="R1167" s="18"/>
      <c r="S1167" s="18"/>
    </row>
    <row r="1168" spans="1:19" x14ac:dyDescent="0.25">
      <c r="A1168" s="9" t="s">
        <v>406</v>
      </c>
      <c r="B1168" s="17" t="s">
        <v>660</v>
      </c>
      <c r="C1168" s="18">
        <f t="shared" si="80"/>
        <v>24878193.07</v>
      </c>
      <c r="D1168" s="18"/>
      <c r="E1168" s="18"/>
      <c r="F1168" s="18"/>
      <c r="G1168" s="18"/>
      <c r="H1168" s="18"/>
      <c r="I1168" s="18"/>
      <c r="J1168" s="18">
        <v>1686190.52</v>
      </c>
      <c r="K1168" s="18"/>
      <c r="L1168" s="10"/>
      <c r="M1168" s="18"/>
      <c r="N1168" s="10"/>
      <c r="O1168" s="18"/>
      <c r="P1168" s="18">
        <v>4473150.5199999996</v>
      </c>
      <c r="Q1168" s="18">
        <v>18718852.030000001</v>
      </c>
      <c r="R1168" s="18"/>
      <c r="S1168" s="18"/>
    </row>
    <row r="1169" spans="1:19" x14ac:dyDescent="0.25">
      <c r="A1169" s="9" t="s">
        <v>408</v>
      </c>
      <c r="B1169" s="17" t="s">
        <v>662</v>
      </c>
      <c r="C1169" s="18">
        <f t="shared" si="80"/>
        <v>33893170.359999999</v>
      </c>
      <c r="D1169" s="18">
        <v>657729.38</v>
      </c>
      <c r="E1169" s="18"/>
      <c r="F1169" s="18"/>
      <c r="G1169" s="18"/>
      <c r="H1169" s="18"/>
      <c r="I1169" s="18"/>
      <c r="J1169" s="18">
        <v>2658128.04</v>
      </c>
      <c r="K1169" s="18"/>
      <c r="L1169" s="10"/>
      <c r="M1169" s="18"/>
      <c r="N1169" s="10" t="s">
        <v>552</v>
      </c>
      <c r="O1169" s="18">
        <v>7127743.5300000003</v>
      </c>
      <c r="P1169" s="18">
        <v>4666186.3899999997</v>
      </c>
      <c r="Q1169" s="18">
        <v>18783383.02</v>
      </c>
      <c r="R1169" s="18"/>
      <c r="S1169" s="18"/>
    </row>
    <row r="1170" spans="1:19" x14ac:dyDescent="0.25">
      <c r="A1170" s="9" t="s">
        <v>410</v>
      </c>
      <c r="B1170" s="17" t="s">
        <v>664</v>
      </c>
      <c r="C1170" s="18">
        <f t="shared" si="80"/>
        <v>27415219.559999999</v>
      </c>
      <c r="D1170" s="18">
        <v>568611.16</v>
      </c>
      <c r="E1170" s="18"/>
      <c r="F1170" s="18"/>
      <c r="G1170" s="18"/>
      <c r="H1170" s="18">
        <v>4434757.88</v>
      </c>
      <c r="I1170" s="18">
        <v>2053037.92</v>
      </c>
      <c r="J1170" s="18">
        <v>1969782.42</v>
      </c>
      <c r="K1170" s="18"/>
      <c r="L1170" s="10"/>
      <c r="M1170" s="18"/>
      <c r="N1170" s="10"/>
      <c r="O1170" s="18"/>
      <c r="P1170" s="18"/>
      <c r="Q1170" s="18">
        <v>18389030.18</v>
      </c>
      <c r="R1170" s="18"/>
      <c r="S1170" s="18"/>
    </row>
    <row r="1171" spans="1:19" x14ac:dyDescent="0.25">
      <c r="A1171" s="9" t="s">
        <v>412</v>
      </c>
      <c r="B1171" s="17" t="s">
        <v>666</v>
      </c>
      <c r="C1171" s="18">
        <f t="shared" si="80"/>
        <v>25619468.039999999</v>
      </c>
      <c r="D1171" s="18">
        <v>199751.37</v>
      </c>
      <c r="E1171" s="18"/>
      <c r="F1171" s="18"/>
      <c r="G1171" s="18"/>
      <c r="H1171" s="18"/>
      <c r="I1171" s="18"/>
      <c r="J1171" s="18"/>
      <c r="K1171" s="18"/>
      <c r="L1171" s="10">
        <v>6</v>
      </c>
      <c r="M1171" s="18">
        <v>25419716.670000002</v>
      </c>
      <c r="N1171" s="10"/>
      <c r="O1171" s="18"/>
      <c r="P1171" s="18"/>
      <c r="Q1171" s="18"/>
      <c r="R1171" s="18"/>
      <c r="S1171" s="18"/>
    </row>
    <row r="1172" spans="1:19" x14ac:dyDescent="0.25">
      <c r="A1172" s="9" t="s">
        <v>414</v>
      </c>
      <c r="B1172" s="17" t="s">
        <v>672</v>
      </c>
      <c r="C1172" s="18">
        <f t="shared" ref="C1172:C1196" si="81">ROUNDUP(SUM(D1172+E1172+F1172+G1172+H1172+I1172+J1172+K1172+M1172+O1172+P1172+Q1172+R1172+S1172),2)</f>
        <v>10186310.810000001</v>
      </c>
      <c r="D1172" s="18">
        <v>211271.34</v>
      </c>
      <c r="E1172" s="18"/>
      <c r="F1172" s="18"/>
      <c r="G1172" s="18"/>
      <c r="H1172" s="18"/>
      <c r="I1172" s="18"/>
      <c r="J1172" s="18"/>
      <c r="K1172" s="18"/>
      <c r="L1172" s="10"/>
      <c r="M1172" s="18"/>
      <c r="N1172" s="10" t="s">
        <v>883</v>
      </c>
      <c r="O1172" s="18">
        <v>9975039.4700000007</v>
      </c>
      <c r="P1172" s="18"/>
      <c r="Q1172" s="18"/>
      <c r="R1172" s="18"/>
      <c r="S1172" s="18"/>
    </row>
    <row r="1173" spans="1:19" x14ac:dyDescent="0.25">
      <c r="A1173" s="9" t="s">
        <v>416</v>
      </c>
      <c r="B1173" s="17" t="s">
        <v>674</v>
      </c>
      <c r="C1173" s="18">
        <f t="shared" si="81"/>
        <v>19644912.84</v>
      </c>
      <c r="D1173" s="18">
        <v>407449.48</v>
      </c>
      <c r="E1173" s="18"/>
      <c r="F1173" s="18"/>
      <c r="G1173" s="18"/>
      <c r="H1173" s="18"/>
      <c r="I1173" s="18"/>
      <c r="J1173" s="18"/>
      <c r="K1173" s="18"/>
      <c r="L1173" s="10"/>
      <c r="M1173" s="18"/>
      <c r="N1173" s="10" t="s">
        <v>883</v>
      </c>
      <c r="O1173" s="18">
        <v>8983590.9800000004</v>
      </c>
      <c r="P1173" s="18"/>
      <c r="Q1173" s="18">
        <v>10253872.380000001</v>
      </c>
      <c r="R1173" s="18"/>
      <c r="S1173" s="18"/>
    </row>
    <row r="1174" spans="1:19" ht="15" customHeight="1" x14ac:dyDescent="0.25">
      <c r="A1174" s="9" t="s">
        <v>418</v>
      </c>
      <c r="B1174" s="17" t="s">
        <v>676</v>
      </c>
      <c r="C1174" s="18">
        <f t="shared" si="81"/>
        <v>1873621.74</v>
      </c>
      <c r="D1174" s="18"/>
      <c r="E1174" s="18"/>
      <c r="F1174" s="18"/>
      <c r="G1174" s="18"/>
      <c r="H1174" s="18"/>
      <c r="I1174" s="18"/>
      <c r="J1174" s="18">
        <v>1873621.74</v>
      </c>
      <c r="K1174" s="18"/>
      <c r="L1174" s="10"/>
      <c r="M1174" s="18"/>
      <c r="N1174" s="18"/>
      <c r="O1174" s="18"/>
      <c r="P1174" s="18"/>
      <c r="Q1174" s="18"/>
      <c r="R1174" s="18"/>
      <c r="S1174" s="18"/>
    </row>
    <row r="1175" spans="1:19" ht="15" customHeight="1" x14ac:dyDescent="0.25">
      <c r="A1175" s="9" t="s">
        <v>420</v>
      </c>
      <c r="B1175" s="17" t="s">
        <v>686</v>
      </c>
      <c r="C1175" s="18">
        <f t="shared" si="81"/>
        <v>7564463.8399999999</v>
      </c>
      <c r="D1175" s="18"/>
      <c r="E1175" s="18"/>
      <c r="F1175" s="18"/>
      <c r="G1175" s="18"/>
      <c r="H1175" s="18"/>
      <c r="I1175" s="18"/>
      <c r="J1175" s="18">
        <v>1505395.33</v>
      </c>
      <c r="K1175" s="18"/>
      <c r="L1175" s="10"/>
      <c r="M1175" s="18"/>
      <c r="N1175" s="10"/>
      <c r="O1175" s="18"/>
      <c r="P1175" s="18"/>
      <c r="Q1175" s="18">
        <v>6059068.5099999998</v>
      </c>
      <c r="R1175" s="18"/>
      <c r="S1175" s="18"/>
    </row>
    <row r="1176" spans="1:19" x14ac:dyDescent="0.25">
      <c r="A1176" s="9" t="s">
        <v>422</v>
      </c>
      <c r="B1176" s="17" t="s">
        <v>692</v>
      </c>
      <c r="C1176" s="18">
        <f t="shared" si="81"/>
        <v>8417045.9399999995</v>
      </c>
      <c r="D1176" s="18"/>
      <c r="E1176" s="18"/>
      <c r="F1176" s="18"/>
      <c r="G1176" s="18">
        <v>7117776.5</v>
      </c>
      <c r="H1176" s="18"/>
      <c r="I1176" s="18"/>
      <c r="J1176" s="18">
        <v>1299269.44</v>
      </c>
      <c r="K1176" s="18"/>
      <c r="L1176" s="10"/>
      <c r="M1176" s="18"/>
      <c r="N1176" s="18"/>
      <c r="O1176" s="18"/>
      <c r="P1176" s="18"/>
      <c r="Q1176" s="18"/>
      <c r="R1176" s="18"/>
      <c r="S1176" s="18"/>
    </row>
    <row r="1177" spans="1:19" x14ac:dyDescent="0.25">
      <c r="A1177" s="9" t="s">
        <v>424</v>
      </c>
      <c r="B1177" s="17" t="s">
        <v>700</v>
      </c>
      <c r="C1177" s="18">
        <f t="shared" si="81"/>
        <v>14958191.15</v>
      </c>
      <c r="D1177" s="18">
        <v>668466.76</v>
      </c>
      <c r="E1177" s="18"/>
      <c r="F1177" s="18"/>
      <c r="G1177" s="18"/>
      <c r="H1177" s="18"/>
      <c r="I1177" s="18"/>
      <c r="J1177" s="18"/>
      <c r="K1177" s="18"/>
      <c r="L1177" s="10">
        <v>3</v>
      </c>
      <c r="M1177" s="18">
        <v>14289724.390000001</v>
      </c>
      <c r="N1177" s="10"/>
      <c r="O1177" s="18"/>
      <c r="P1177" s="18"/>
      <c r="Q1177" s="18"/>
      <c r="R1177" s="18"/>
      <c r="S1177" s="18"/>
    </row>
    <row r="1178" spans="1:19" x14ac:dyDescent="0.25">
      <c r="A1178" s="9" t="s">
        <v>426</v>
      </c>
      <c r="B1178" s="17" t="s">
        <v>702</v>
      </c>
      <c r="C1178" s="18">
        <f t="shared" si="81"/>
        <v>20067511.739999998</v>
      </c>
      <c r="D1178" s="18"/>
      <c r="E1178" s="18"/>
      <c r="F1178" s="18"/>
      <c r="G1178" s="18">
        <v>6059536.6900000004</v>
      </c>
      <c r="H1178" s="18">
        <v>1926463.34</v>
      </c>
      <c r="I1178" s="18">
        <v>1046600.95</v>
      </c>
      <c r="J1178" s="18">
        <v>1343179.22</v>
      </c>
      <c r="K1178" s="18"/>
      <c r="L1178" s="10"/>
      <c r="M1178" s="18"/>
      <c r="N1178" s="18" t="s">
        <v>552</v>
      </c>
      <c r="O1178" s="18">
        <v>9691731.5399999991</v>
      </c>
      <c r="P1178" s="18"/>
      <c r="Q1178" s="18"/>
      <c r="R1178" s="18"/>
      <c r="S1178" s="18"/>
    </row>
    <row r="1179" spans="1:19" x14ac:dyDescent="0.25">
      <c r="A1179" s="9" t="s">
        <v>428</v>
      </c>
      <c r="B1179" s="17" t="s">
        <v>706</v>
      </c>
      <c r="C1179" s="18">
        <f t="shared" si="81"/>
        <v>18000370.510000002</v>
      </c>
      <c r="D1179" s="18"/>
      <c r="E1179" s="18"/>
      <c r="F1179" s="18"/>
      <c r="G1179" s="18">
        <v>3264591.47</v>
      </c>
      <c r="H1179" s="18">
        <v>3612873.7199999997</v>
      </c>
      <c r="I1179" s="18"/>
      <c r="J1179" s="18"/>
      <c r="K1179" s="18"/>
      <c r="L1179" s="10"/>
      <c r="M1179" s="18"/>
      <c r="N1179" s="10" t="s">
        <v>883</v>
      </c>
      <c r="O1179" s="18">
        <v>11122905.32</v>
      </c>
      <c r="P1179" s="18"/>
      <c r="Q1179" s="18"/>
      <c r="R1179" s="18"/>
      <c r="S1179" s="18"/>
    </row>
    <row r="1180" spans="1:19" x14ac:dyDescent="0.25">
      <c r="A1180" s="9" t="s">
        <v>430</v>
      </c>
      <c r="B1180" s="17" t="s">
        <v>708</v>
      </c>
      <c r="C1180" s="18">
        <f t="shared" si="81"/>
        <v>9287910.0800000001</v>
      </c>
      <c r="D1180" s="18">
        <v>180240.78</v>
      </c>
      <c r="E1180" s="18"/>
      <c r="F1180" s="18"/>
      <c r="G1180" s="18"/>
      <c r="H1180" s="18"/>
      <c r="I1180" s="18"/>
      <c r="J1180" s="18"/>
      <c r="K1180" s="18"/>
      <c r="L1180" s="10"/>
      <c r="M1180" s="18"/>
      <c r="N1180" s="10" t="s">
        <v>883</v>
      </c>
      <c r="O1180" s="18">
        <v>9107669.3000000007</v>
      </c>
      <c r="P1180" s="18"/>
      <c r="Q1180" s="18"/>
      <c r="R1180" s="18"/>
      <c r="S1180" s="18"/>
    </row>
    <row r="1181" spans="1:19" x14ac:dyDescent="0.25">
      <c r="A1181" s="9" t="s">
        <v>432</v>
      </c>
      <c r="B1181" s="17" t="s">
        <v>710</v>
      </c>
      <c r="C1181" s="18">
        <f t="shared" si="81"/>
        <v>280000</v>
      </c>
      <c r="D1181" s="18"/>
      <c r="E1181" s="18"/>
      <c r="F1181" s="18"/>
      <c r="G1181" s="18"/>
      <c r="H1181" s="18"/>
      <c r="I1181" s="18"/>
      <c r="J1181" s="18"/>
      <c r="K1181" s="18"/>
      <c r="L1181" s="10"/>
      <c r="M1181" s="18"/>
      <c r="N1181" s="10"/>
      <c r="O1181" s="18"/>
      <c r="P1181" s="18"/>
      <c r="Q1181" s="18">
        <v>280000</v>
      </c>
      <c r="R1181" s="18"/>
      <c r="S1181" s="18"/>
    </row>
    <row r="1182" spans="1:19" x14ac:dyDescent="0.25">
      <c r="A1182" s="9" t="s">
        <v>434</v>
      </c>
      <c r="B1182" s="17" t="s">
        <v>712</v>
      </c>
      <c r="C1182" s="18">
        <f t="shared" si="81"/>
        <v>17648419.68</v>
      </c>
      <c r="D1182" s="18"/>
      <c r="E1182" s="18"/>
      <c r="F1182" s="18"/>
      <c r="G1182" s="18"/>
      <c r="H1182" s="18"/>
      <c r="I1182" s="18"/>
      <c r="J1182" s="18"/>
      <c r="K1182" s="18"/>
      <c r="L1182" s="10"/>
      <c r="M1182" s="18"/>
      <c r="N1182" s="10" t="s">
        <v>883</v>
      </c>
      <c r="O1182" s="18">
        <v>13191435.220000001</v>
      </c>
      <c r="P1182" s="18"/>
      <c r="Q1182" s="18">
        <v>4456984.46</v>
      </c>
      <c r="R1182" s="18"/>
      <c r="S1182" s="18"/>
    </row>
    <row r="1183" spans="1:19" x14ac:dyDescent="0.25">
      <c r="A1183" s="9" t="s">
        <v>436</v>
      </c>
      <c r="B1183" s="17" t="s">
        <v>1911</v>
      </c>
      <c r="C1183" s="18">
        <f t="shared" si="81"/>
        <v>7942824.96</v>
      </c>
      <c r="D1183" s="18"/>
      <c r="E1183" s="30"/>
      <c r="F1183" s="18"/>
      <c r="G1183" s="18"/>
      <c r="H1183" s="30"/>
      <c r="I1183" s="30"/>
      <c r="J1183" s="30"/>
      <c r="K1183" s="30"/>
      <c r="L1183" s="31"/>
      <c r="M1183" s="30"/>
      <c r="N1183" s="31"/>
      <c r="O1183" s="18"/>
      <c r="P1183" s="30"/>
      <c r="Q1183" s="18"/>
      <c r="R1183" s="30">
        <v>7942824.96</v>
      </c>
      <c r="S1183" s="30"/>
    </row>
    <row r="1184" spans="1:19" x14ac:dyDescent="0.25">
      <c r="A1184" s="9" t="s">
        <v>438</v>
      </c>
      <c r="B1184" s="17" t="s">
        <v>718</v>
      </c>
      <c r="C1184" s="18">
        <f t="shared" si="81"/>
        <v>16097544.4</v>
      </c>
      <c r="D1184" s="18"/>
      <c r="E1184" s="18"/>
      <c r="F1184" s="18"/>
      <c r="G1184" s="18">
        <v>4447555.37</v>
      </c>
      <c r="H1184" s="18">
        <v>1978181.22</v>
      </c>
      <c r="I1184" s="18">
        <v>736256.57</v>
      </c>
      <c r="J1184" s="18"/>
      <c r="K1184" s="18"/>
      <c r="L1184" s="10"/>
      <c r="M1184" s="18"/>
      <c r="N1184" s="10"/>
      <c r="O1184" s="18"/>
      <c r="P1184" s="18">
        <v>3407069.4</v>
      </c>
      <c r="Q1184" s="18">
        <v>5528481.8399999999</v>
      </c>
      <c r="R1184" s="18"/>
      <c r="S1184" s="18"/>
    </row>
    <row r="1185" spans="1:19" x14ac:dyDescent="0.25">
      <c r="A1185" s="9" t="s">
        <v>440</v>
      </c>
      <c r="B1185" s="17" t="s">
        <v>722</v>
      </c>
      <c r="C1185" s="18">
        <f t="shared" si="81"/>
        <v>8922018.5600000005</v>
      </c>
      <c r="D1185" s="18">
        <v>185049.01</v>
      </c>
      <c r="E1185" s="18"/>
      <c r="F1185" s="18"/>
      <c r="G1185" s="18">
        <v>1995918.83</v>
      </c>
      <c r="H1185" s="18"/>
      <c r="I1185" s="18"/>
      <c r="J1185" s="18"/>
      <c r="K1185" s="18"/>
      <c r="L1185" s="10"/>
      <c r="M1185" s="18"/>
      <c r="N1185" s="10"/>
      <c r="O1185" s="18"/>
      <c r="P1185" s="18"/>
      <c r="Q1185" s="18"/>
      <c r="R1185" s="18">
        <v>6741050.7199999997</v>
      </c>
      <c r="S1185" s="18"/>
    </row>
    <row r="1186" spans="1:19" x14ac:dyDescent="0.25">
      <c r="A1186" s="9" t="s">
        <v>442</v>
      </c>
      <c r="B1186" s="17" t="s">
        <v>730</v>
      </c>
      <c r="C1186" s="18">
        <f t="shared" si="81"/>
        <v>21996621.66</v>
      </c>
      <c r="D1186" s="18"/>
      <c r="E1186" s="18"/>
      <c r="F1186" s="18"/>
      <c r="G1186" s="18">
        <v>6318238.9699999997</v>
      </c>
      <c r="H1186" s="18"/>
      <c r="I1186" s="18"/>
      <c r="J1186" s="18">
        <v>1131693.02</v>
      </c>
      <c r="K1186" s="18"/>
      <c r="L1186" s="10"/>
      <c r="M1186" s="18"/>
      <c r="N1186" s="10"/>
      <c r="O1186" s="18"/>
      <c r="P1186" s="18"/>
      <c r="Q1186" s="18"/>
      <c r="R1186" s="18">
        <v>14546689.67</v>
      </c>
      <c r="S1186" s="18"/>
    </row>
    <row r="1187" spans="1:19" ht="15" customHeight="1" x14ac:dyDescent="0.25">
      <c r="A1187" s="9" t="s">
        <v>444</v>
      </c>
      <c r="B1187" s="17" t="s">
        <v>732</v>
      </c>
      <c r="C1187" s="18">
        <f t="shared" si="81"/>
        <v>32965778.02</v>
      </c>
      <c r="D1187" s="18">
        <v>636341.49</v>
      </c>
      <c r="E1187" s="18"/>
      <c r="F1187" s="18"/>
      <c r="G1187" s="18">
        <v>5764909.9299999997</v>
      </c>
      <c r="H1187" s="18"/>
      <c r="I1187" s="18"/>
      <c r="J1187" s="18">
        <v>2302564.87</v>
      </c>
      <c r="K1187" s="18"/>
      <c r="L1187" s="10"/>
      <c r="M1187" s="18"/>
      <c r="N1187" s="10"/>
      <c r="O1187" s="18"/>
      <c r="P1187" s="18"/>
      <c r="Q1187" s="18"/>
      <c r="R1187" s="18">
        <v>24261961.73</v>
      </c>
      <c r="S1187" s="18"/>
    </row>
    <row r="1188" spans="1:19" x14ac:dyDescent="0.25">
      <c r="A1188" s="9" t="s">
        <v>446</v>
      </c>
      <c r="B1188" s="17" t="s">
        <v>738</v>
      </c>
      <c r="C1188" s="18">
        <f t="shared" si="81"/>
        <v>14289724.390000001</v>
      </c>
      <c r="D1188" s="18"/>
      <c r="E1188" s="18"/>
      <c r="F1188" s="18"/>
      <c r="G1188" s="18"/>
      <c r="H1188" s="18"/>
      <c r="I1188" s="18"/>
      <c r="J1188" s="18"/>
      <c r="K1188" s="18"/>
      <c r="L1188" s="10">
        <v>3</v>
      </c>
      <c r="M1188" s="18">
        <v>14289724.390000001</v>
      </c>
      <c r="N1188" s="10"/>
      <c r="O1188" s="18"/>
      <c r="P1188" s="18"/>
      <c r="Q1188" s="18"/>
      <c r="R1188" s="18"/>
      <c r="S1188" s="18"/>
    </row>
    <row r="1189" spans="1:19" x14ac:dyDescent="0.25">
      <c r="A1189" s="9" t="s">
        <v>448</v>
      </c>
      <c r="B1189" s="17" t="s">
        <v>740</v>
      </c>
      <c r="C1189" s="18">
        <f t="shared" si="81"/>
        <v>14586080.18</v>
      </c>
      <c r="D1189" s="18">
        <v>296352.95</v>
      </c>
      <c r="E1189" s="18"/>
      <c r="F1189" s="18"/>
      <c r="G1189" s="18"/>
      <c r="H1189" s="18"/>
      <c r="I1189" s="18"/>
      <c r="J1189" s="18"/>
      <c r="K1189" s="18"/>
      <c r="L1189" s="10">
        <v>3</v>
      </c>
      <c r="M1189" s="18">
        <v>14289727.23</v>
      </c>
      <c r="N1189" s="10"/>
      <c r="O1189" s="18"/>
      <c r="P1189" s="18"/>
      <c r="Q1189" s="18"/>
      <c r="R1189" s="18"/>
      <c r="S1189" s="18"/>
    </row>
    <row r="1190" spans="1:19" x14ac:dyDescent="0.25">
      <c r="A1190" s="9" t="s">
        <v>450</v>
      </c>
      <c r="B1190" s="17" t="s">
        <v>742</v>
      </c>
      <c r="C1190" s="18">
        <f t="shared" si="81"/>
        <v>14586080.18</v>
      </c>
      <c r="D1190" s="18">
        <v>296352.95</v>
      </c>
      <c r="E1190" s="18"/>
      <c r="F1190" s="18"/>
      <c r="G1190" s="18"/>
      <c r="H1190" s="18"/>
      <c r="I1190" s="18"/>
      <c r="J1190" s="18"/>
      <c r="K1190" s="18"/>
      <c r="L1190" s="10">
        <v>3</v>
      </c>
      <c r="M1190" s="18">
        <v>14289727.23</v>
      </c>
      <c r="N1190" s="10"/>
      <c r="O1190" s="18"/>
      <c r="P1190" s="18"/>
      <c r="Q1190" s="18"/>
      <c r="R1190" s="18"/>
      <c r="S1190" s="18"/>
    </row>
    <row r="1191" spans="1:19" x14ac:dyDescent="0.25">
      <c r="A1191" s="9" t="s">
        <v>452</v>
      </c>
      <c r="B1191" s="17" t="s">
        <v>744</v>
      </c>
      <c r="C1191" s="18">
        <f t="shared" si="81"/>
        <v>14958191.15</v>
      </c>
      <c r="D1191" s="18">
        <v>668466.76</v>
      </c>
      <c r="E1191" s="18"/>
      <c r="F1191" s="18"/>
      <c r="G1191" s="18"/>
      <c r="H1191" s="18"/>
      <c r="I1191" s="18"/>
      <c r="J1191" s="18"/>
      <c r="K1191" s="18"/>
      <c r="L1191" s="10">
        <v>3</v>
      </c>
      <c r="M1191" s="18">
        <v>14289724.390000001</v>
      </c>
      <c r="N1191" s="10"/>
      <c r="O1191" s="18"/>
      <c r="P1191" s="18"/>
      <c r="Q1191" s="18"/>
      <c r="R1191" s="18"/>
      <c r="S1191" s="18"/>
    </row>
    <row r="1192" spans="1:19" ht="15" customHeight="1" x14ac:dyDescent="0.25">
      <c r="A1192" s="9" t="s">
        <v>454</v>
      </c>
      <c r="B1192" s="17" t="s">
        <v>746</v>
      </c>
      <c r="C1192" s="18">
        <f t="shared" si="81"/>
        <v>23386984.219999999</v>
      </c>
      <c r="D1192" s="18"/>
      <c r="E1192" s="18"/>
      <c r="F1192" s="18"/>
      <c r="G1192" s="18">
        <v>3258931.02</v>
      </c>
      <c r="H1192" s="18">
        <v>1433887.94</v>
      </c>
      <c r="I1192" s="18"/>
      <c r="J1192" s="18">
        <v>794965.24</v>
      </c>
      <c r="K1192" s="18"/>
      <c r="L1192" s="10"/>
      <c r="M1192" s="18"/>
      <c r="N1192" s="10"/>
      <c r="O1192" s="18"/>
      <c r="P1192" s="18"/>
      <c r="Q1192" s="18"/>
      <c r="R1192" s="18">
        <v>17899200.02</v>
      </c>
      <c r="S1192" s="18"/>
    </row>
    <row r="1193" spans="1:19" ht="15" customHeight="1" x14ac:dyDescent="0.25">
      <c r="A1193" s="9" t="s">
        <v>456</v>
      </c>
      <c r="B1193" s="17" t="s">
        <v>750</v>
      </c>
      <c r="C1193" s="18">
        <f t="shared" si="81"/>
        <v>18224654.170000002</v>
      </c>
      <c r="D1193" s="18">
        <v>142147.87</v>
      </c>
      <c r="E1193" s="18"/>
      <c r="F1193" s="18"/>
      <c r="G1193" s="18"/>
      <c r="H1193" s="18"/>
      <c r="I1193" s="18"/>
      <c r="J1193" s="18"/>
      <c r="K1193" s="18"/>
      <c r="L1193" s="10">
        <v>6</v>
      </c>
      <c r="M1193" s="18">
        <v>18082506.300000001</v>
      </c>
      <c r="N1193" s="10"/>
      <c r="O1193" s="18"/>
      <c r="P1193" s="18"/>
      <c r="Q1193" s="18"/>
      <c r="R1193" s="18"/>
      <c r="S1193" s="18"/>
    </row>
    <row r="1194" spans="1:19" x14ac:dyDescent="0.25">
      <c r="A1194" s="9" t="s">
        <v>458</v>
      </c>
      <c r="B1194" s="17" t="s">
        <v>754</v>
      </c>
      <c r="C1194" s="18">
        <f t="shared" si="81"/>
        <v>7692970.5</v>
      </c>
      <c r="D1194" s="18"/>
      <c r="E1194" s="18"/>
      <c r="F1194" s="18"/>
      <c r="G1194" s="18">
        <v>7692970.5</v>
      </c>
      <c r="H1194" s="18"/>
      <c r="I1194" s="18"/>
      <c r="J1194" s="18"/>
      <c r="K1194" s="18"/>
      <c r="L1194" s="10"/>
      <c r="M1194" s="18"/>
      <c r="N1194" s="18"/>
      <c r="O1194" s="18"/>
      <c r="P1194" s="18"/>
      <c r="Q1194" s="18"/>
      <c r="R1194" s="18"/>
      <c r="S1194" s="18"/>
    </row>
    <row r="1195" spans="1:19" x14ac:dyDescent="0.25">
      <c r="A1195" s="9" t="s">
        <v>460</v>
      </c>
      <c r="B1195" s="17" t="s">
        <v>756</v>
      </c>
      <c r="C1195" s="18">
        <f t="shared" si="81"/>
        <v>27344571.510000002</v>
      </c>
      <c r="D1195" s="18"/>
      <c r="E1195" s="18"/>
      <c r="F1195" s="18">
        <v>3296541.61</v>
      </c>
      <c r="G1195" s="18">
        <v>5179407.9800000004</v>
      </c>
      <c r="H1195" s="18"/>
      <c r="I1195" s="18"/>
      <c r="J1195" s="18"/>
      <c r="K1195" s="18"/>
      <c r="L1195" s="10"/>
      <c r="M1195" s="18"/>
      <c r="N1195" s="10"/>
      <c r="O1195" s="18"/>
      <c r="P1195" s="18">
        <v>5104116.1900000004</v>
      </c>
      <c r="Q1195" s="18">
        <v>13764505.73</v>
      </c>
      <c r="R1195" s="18"/>
      <c r="S1195" s="18"/>
    </row>
    <row r="1196" spans="1:19" x14ac:dyDescent="0.25">
      <c r="A1196" s="9" t="s">
        <v>462</v>
      </c>
      <c r="B1196" s="17" t="s">
        <v>758</v>
      </c>
      <c r="C1196" s="18">
        <f t="shared" si="81"/>
        <v>13709047.17</v>
      </c>
      <c r="D1196" s="18"/>
      <c r="E1196" s="18"/>
      <c r="F1196" s="18"/>
      <c r="G1196" s="18"/>
      <c r="H1196" s="18"/>
      <c r="I1196" s="18"/>
      <c r="J1196" s="18"/>
      <c r="K1196" s="18"/>
      <c r="L1196" s="10"/>
      <c r="M1196" s="18"/>
      <c r="N1196" s="10" t="s">
        <v>883</v>
      </c>
      <c r="O1196" s="18">
        <v>8752119.9100000001</v>
      </c>
      <c r="P1196" s="18"/>
      <c r="Q1196" s="18">
        <v>4956927.26</v>
      </c>
      <c r="R1196" s="18"/>
      <c r="S1196" s="18"/>
    </row>
    <row r="1197" spans="1:19" x14ac:dyDescent="0.25">
      <c r="A1197" s="9"/>
      <c r="B1197" s="50" t="s">
        <v>2083</v>
      </c>
      <c r="C1197" s="18">
        <f>ROUND(D1197+E1197+F1197+G1197+H1197+I1197+J1197+K1197+M1197+O1197+P1197+Q1197+R1197+S1197,2)</f>
        <v>1089321020.96</v>
      </c>
      <c r="D1197" s="18">
        <f t="shared" ref="D1197:S1197" si="82">SUM(D1140:D1196)</f>
        <v>11168757.869999997</v>
      </c>
      <c r="E1197" s="18">
        <f t="shared" si="82"/>
        <v>1317551.96</v>
      </c>
      <c r="F1197" s="18">
        <f t="shared" si="82"/>
        <v>21148118.259999998</v>
      </c>
      <c r="G1197" s="18">
        <f t="shared" si="82"/>
        <v>66709196.590000004</v>
      </c>
      <c r="H1197" s="18">
        <f t="shared" si="82"/>
        <v>19736658.390000001</v>
      </c>
      <c r="I1197" s="18">
        <f t="shared" si="82"/>
        <v>5750748.6900000004</v>
      </c>
      <c r="J1197" s="18">
        <f t="shared" si="82"/>
        <v>27606582.409999996</v>
      </c>
      <c r="K1197" s="18">
        <f t="shared" si="82"/>
        <v>0</v>
      </c>
      <c r="L1197" s="10">
        <f t="shared" si="82"/>
        <v>43</v>
      </c>
      <c r="M1197" s="18">
        <f t="shared" si="82"/>
        <v>203831712.79999995</v>
      </c>
      <c r="N1197" s="18" t="s">
        <v>42</v>
      </c>
      <c r="O1197" s="18">
        <f t="shared" si="82"/>
        <v>284789817.19</v>
      </c>
      <c r="P1197" s="18">
        <f t="shared" si="82"/>
        <v>40691964.890000001</v>
      </c>
      <c r="Q1197" s="18">
        <f t="shared" si="82"/>
        <v>266208907.56999999</v>
      </c>
      <c r="R1197" s="18">
        <f t="shared" si="82"/>
        <v>140361004.34</v>
      </c>
      <c r="S1197" s="18">
        <f t="shared" si="82"/>
        <v>0</v>
      </c>
    </row>
    <row r="1198" spans="1:19" x14ac:dyDescent="0.25">
      <c r="A1198" s="9"/>
      <c r="B1198" s="46" t="s">
        <v>760</v>
      </c>
      <c r="C1198" s="19"/>
      <c r="D1198" s="13"/>
      <c r="E1198" s="13"/>
      <c r="F1198" s="13"/>
      <c r="G1198" s="13"/>
      <c r="H1198" s="13"/>
      <c r="I1198" s="13"/>
      <c r="J1198" s="13"/>
      <c r="K1198" s="13"/>
      <c r="L1198" s="14"/>
      <c r="M1198" s="13"/>
      <c r="N1198" s="14"/>
      <c r="O1198" s="13"/>
      <c r="P1198" s="13"/>
      <c r="Q1198" s="13"/>
      <c r="R1198" s="13"/>
      <c r="S1198" s="13"/>
    </row>
    <row r="1199" spans="1:19" x14ac:dyDescent="0.25">
      <c r="A1199" s="9" t="s">
        <v>464</v>
      </c>
      <c r="B1199" s="17" t="s">
        <v>776</v>
      </c>
      <c r="C1199" s="18">
        <f>ROUNDUP(SUM(D1199+E1199+F1199+G1199+H1199+I1199+J1199+K1199+M1199+O1199+P1199+Q1199+R1199+S1199),2)</f>
        <v>9259696.3000000007</v>
      </c>
      <c r="D1199" s="18"/>
      <c r="E1199" s="18"/>
      <c r="F1199" s="18"/>
      <c r="G1199" s="18">
        <v>4308637.0199999996</v>
      </c>
      <c r="H1199" s="18">
        <v>2552577.15</v>
      </c>
      <c r="I1199" s="18">
        <v>1118822.73</v>
      </c>
      <c r="J1199" s="18">
        <v>1279659.3999999999</v>
      </c>
      <c r="K1199" s="18"/>
      <c r="L1199" s="10"/>
      <c r="M1199" s="18"/>
      <c r="N1199" s="10"/>
      <c r="O1199" s="18"/>
      <c r="P1199" s="18"/>
      <c r="Q1199" s="18"/>
      <c r="R1199" s="18"/>
      <c r="S1199" s="18"/>
    </row>
    <row r="1200" spans="1:19" x14ac:dyDescent="0.25">
      <c r="A1200" s="9" t="s">
        <v>466</v>
      </c>
      <c r="B1200" s="17" t="s">
        <v>788</v>
      </c>
      <c r="C1200" s="18">
        <f>ROUNDUP(SUM(D1200+E1200+F1200+G1200+H1200+I1200+J1200+K1200+M1200+O1200+P1200+Q1200+R1200+S1200),2)</f>
        <v>60803773.719999999</v>
      </c>
      <c r="D1200" s="18">
        <v>1244684.9100000001</v>
      </c>
      <c r="E1200" s="18"/>
      <c r="F1200" s="18">
        <v>8542203.8499999996</v>
      </c>
      <c r="G1200" s="18">
        <v>11454059.07</v>
      </c>
      <c r="H1200" s="18">
        <v>6224000.7000000002</v>
      </c>
      <c r="I1200" s="18">
        <v>2610837.5299999998</v>
      </c>
      <c r="J1200" s="18"/>
      <c r="K1200" s="18"/>
      <c r="L1200" s="10"/>
      <c r="M1200" s="18"/>
      <c r="N1200" s="10" t="s">
        <v>552</v>
      </c>
      <c r="O1200" s="18">
        <v>20488013.219999999</v>
      </c>
      <c r="P1200" s="18">
        <v>10239974.439999999</v>
      </c>
      <c r="Q1200" s="18"/>
      <c r="R1200" s="18"/>
      <c r="S1200" s="18"/>
    </row>
    <row r="1201" spans="1:19" x14ac:dyDescent="0.25">
      <c r="A1201" s="9">
        <f>1+A1200</f>
        <v>216</v>
      </c>
      <c r="B1201" s="17" t="s">
        <v>786</v>
      </c>
      <c r="C1201" s="18">
        <f>ROUNDUP(SUM(D1201+E1201+F1201+G1201+H1201+I1201+J1201+K1201+M1201+O1201+P1201+Q1201+R1201+S1201),2)</f>
        <v>5588468.8700000001</v>
      </c>
      <c r="D1201" s="18"/>
      <c r="E1201" s="18"/>
      <c r="F1201" s="18"/>
      <c r="G1201" s="18"/>
      <c r="H1201" s="18">
        <v>2885871.5</v>
      </c>
      <c r="I1201" s="18">
        <v>1088253.82</v>
      </c>
      <c r="J1201" s="18">
        <v>1614343.55</v>
      </c>
      <c r="K1201" s="18"/>
      <c r="L1201" s="10"/>
      <c r="M1201" s="18"/>
      <c r="N1201" s="10"/>
      <c r="O1201" s="18"/>
      <c r="P1201" s="18"/>
      <c r="Q1201" s="18"/>
      <c r="R1201" s="18"/>
      <c r="S1201" s="18"/>
    </row>
    <row r="1202" spans="1:19" ht="30" x14ac:dyDescent="0.25">
      <c r="A1202" s="9"/>
      <c r="B1202" s="50" t="s">
        <v>2084</v>
      </c>
      <c r="C1202" s="18">
        <f>ROUND(D1202+E1202+F1202+G1202+H1202+I1202+J1202+K1202+M1202+O1202+P1202+Q1202+R1202+S1202,2)</f>
        <v>75651938.890000001</v>
      </c>
      <c r="D1202" s="18">
        <f t="shared" ref="D1202:S1202" si="83">SUM(D1199:D1201)</f>
        <v>1244684.9100000001</v>
      </c>
      <c r="E1202" s="18">
        <f t="shared" si="83"/>
        <v>0</v>
      </c>
      <c r="F1202" s="18">
        <f t="shared" si="83"/>
        <v>8542203.8499999996</v>
      </c>
      <c r="G1202" s="18">
        <f t="shared" si="83"/>
        <v>15762696.09</v>
      </c>
      <c r="H1202" s="18">
        <f t="shared" si="83"/>
        <v>11662449.35</v>
      </c>
      <c r="I1202" s="18">
        <f t="shared" si="83"/>
        <v>4817914.08</v>
      </c>
      <c r="J1202" s="18">
        <f t="shared" si="83"/>
        <v>2894002.95</v>
      </c>
      <c r="K1202" s="18">
        <f t="shared" si="83"/>
        <v>0</v>
      </c>
      <c r="L1202" s="10">
        <f t="shared" si="83"/>
        <v>0</v>
      </c>
      <c r="M1202" s="18">
        <f t="shared" si="83"/>
        <v>0</v>
      </c>
      <c r="N1202" s="18" t="s">
        <v>42</v>
      </c>
      <c r="O1202" s="18">
        <f t="shared" si="83"/>
        <v>20488013.219999999</v>
      </c>
      <c r="P1202" s="18">
        <f t="shared" si="83"/>
        <v>10239974.439999999</v>
      </c>
      <c r="Q1202" s="18">
        <f t="shared" si="83"/>
        <v>0</v>
      </c>
      <c r="R1202" s="18">
        <f t="shared" si="83"/>
        <v>0</v>
      </c>
      <c r="S1202" s="18">
        <f t="shared" si="83"/>
        <v>0</v>
      </c>
    </row>
    <row r="1203" spans="1:19" ht="15" customHeight="1" x14ac:dyDescent="0.25">
      <c r="A1203" s="9"/>
      <c r="B1203" s="46" t="s">
        <v>790</v>
      </c>
      <c r="C1203" s="19"/>
      <c r="D1203" s="13"/>
      <c r="E1203" s="13"/>
      <c r="F1203" s="13"/>
      <c r="G1203" s="13"/>
      <c r="H1203" s="13"/>
      <c r="I1203" s="13"/>
      <c r="J1203" s="13"/>
      <c r="K1203" s="13"/>
      <c r="L1203" s="14"/>
      <c r="M1203" s="13"/>
      <c r="N1203" s="14"/>
      <c r="O1203" s="13"/>
      <c r="P1203" s="13"/>
      <c r="Q1203" s="13"/>
      <c r="R1203" s="13"/>
      <c r="S1203" s="13"/>
    </row>
    <row r="1204" spans="1:19" x14ac:dyDescent="0.25">
      <c r="A1204" s="9" t="s">
        <v>470</v>
      </c>
      <c r="B1204" s="17" t="s">
        <v>792</v>
      </c>
      <c r="C1204" s="18">
        <f t="shared" ref="C1204:C1241" si="84">ROUNDUP(SUM(D1204+E1204+F1204+G1204+H1204+I1204+J1204+K1204+M1204+O1204+P1204+Q1204+R1204+S1204),2)</f>
        <v>32903483.920000002</v>
      </c>
      <c r="D1204" s="18">
        <v>213209.57</v>
      </c>
      <c r="E1204" s="18"/>
      <c r="F1204" s="18"/>
      <c r="G1204" s="18">
        <v>3586119.02</v>
      </c>
      <c r="H1204" s="18"/>
      <c r="I1204" s="18"/>
      <c r="J1204" s="18"/>
      <c r="K1204" s="18"/>
      <c r="L1204" s="10"/>
      <c r="M1204" s="18"/>
      <c r="N1204" s="10" t="s">
        <v>552</v>
      </c>
      <c r="O1204" s="18">
        <v>8663048.5399999991</v>
      </c>
      <c r="P1204" s="18"/>
      <c r="Q1204" s="18">
        <v>20441106.789999999</v>
      </c>
      <c r="R1204" s="18"/>
      <c r="S1204" s="18"/>
    </row>
    <row r="1205" spans="1:19" x14ac:dyDescent="0.25">
      <c r="A1205" s="9" t="s">
        <v>472</v>
      </c>
      <c r="B1205" s="17" t="s">
        <v>794</v>
      </c>
      <c r="C1205" s="18">
        <f t="shared" si="84"/>
        <v>32783133.620000001</v>
      </c>
      <c r="D1205" s="18">
        <v>231765.75</v>
      </c>
      <c r="E1205" s="18"/>
      <c r="F1205" s="18"/>
      <c r="G1205" s="18">
        <v>3447212.54</v>
      </c>
      <c r="H1205" s="18"/>
      <c r="I1205" s="18"/>
      <c r="J1205" s="18"/>
      <c r="K1205" s="18"/>
      <c r="L1205" s="10"/>
      <c r="M1205" s="18"/>
      <c r="N1205" s="10" t="s">
        <v>552</v>
      </c>
      <c r="O1205" s="18">
        <v>8663048.5399999991</v>
      </c>
      <c r="P1205" s="18"/>
      <c r="Q1205" s="18">
        <v>20441106.789999999</v>
      </c>
      <c r="R1205" s="18"/>
      <c r="S1205" s="18"/>
    </row>
    <row r="1206" spans="1:19" x14ac:dyDescent="0.25">
      <c r="A1206" s="9" t="s">
        <v>474</v>
      </c>
      <c r="B1206" s="17" t="s">
        <v>796</v>
      </c>
      <c r="C1206" s="18">
        <f t="shared" si="84"/>
        <v>35611733.020000003</v>
      </c>
      <c r="D1206" s="18">
        <v>251763</v>
      </c>
      <c r="E1206" s="18"/>
      <c r="F1206" s="18">
        <v>2838763.86</v>
      </c>
      <c r="G1206" s="18">
        <v>3519009.34</v>
      </c>
      <c r="H1206" s="18"/>
      <c r="I1206" s="18"/>
      <c r="J1206" s="18"/>
      <c r="K1206" s="18"/>
      <c r="L1206" s="10"/>
      <c r="M1206" s="18"/>
      <c r="N1206" s="10" t="s">
        <v>552</v>
      </c>
      <c r="O1206" s="18">
        <v>8663048.5399999991</v>
      </c>
      <c r="P1206" s="18"/>
      <c r="Q1206" s="18">
        <v>20339148.280000001</v>
      </c>
      <c r="R1206" s="18"/>
      <c r="S1206" s="18"/>
    </row>
    <row r="1207" spans="1:19" x14ac:dyDescent="0.25">
      <c r="A1207" s="9" t="s">
        <v>476</v>
      </c>
      <c r="B1207" s="17" t="s">
        <v>798</v>
      </c>
      <c r="C1207" s="18">
        <f t="shared" si="84"/>
        <v>2030807.45</v>
      </c>
      <c r="D1207" s="18">
        <v>42334.59</v>
      </c>
      <c r="E1207" s="18"/>
      <c r="F1207" s="18"/>
      <c r="G1207" s="18">
        <v>1988472.86</v>
      </c>
      <c r="H1207" s="18"/>
      <c r="I1207" s="18"/>
      <c r="J1207" s="18"/>
      <c r="K1207" s="18"/>
      <c r="L1207" s="10"/>
      <c r="M1207" s="18"/>
      <c r="N1207" s="10"/>
      <c r="O1207" s="18"/>
      <c r="P1207" s="18"/>
      <c r="Q1207" s="18"/>
      <c r="R1207" s="18"/>
      <c r="S1207" s="18"/>
    </row>
    <row r="1208" spans="1:19" x14ac:dyDescent="0.25">
      <c r="A1208" s="9" t="s">
        <v>478</v>
      </c>
      <c r="B1208" s="17" t="s">
        <v>800</v>
      </c>
      <c r="C1208" s="18">
        <f t="shared" si="84"/>
        <v>8221179.3099999996</v>
      </c>
      <c r="D1208" s="18">
        <v>58120.98</v>
      </c>
      <c r="E1208" s="18"/>
      <c r="F1208" s="18"/>
      <c r="G1208" s="18"/>
      <c r="H1208" s="18"/>
      <c r="I1208" s="18"/>
      <c r="J1208" s="18"/>
      <c r="K1208" s="18"/>
      <c r="L1208" s="10"/>
      <c r="M1208" s="18"/>
      <c r="N1208" s="10"/>
      <c r="O1208" s="18"/>
      <c r="P1208" s="18"/>
      <c r="Q1208" s="18">
        <v>8163058.3300000001</v>
      </c>
      <c r="R1208" s="18"/>
      <c r="S1208" s="18"/>
    </row>
    <row r="1209" spans="1:19" x14ac:dyDescent="0.25">
      <c r="A1209" s="9" t="s">
        <v>481</v>
      </c>
      <c r="B1209" s="17" t="s">
        <v>802</v>
      </c>
      <c r="C1209" s="18">
        <f t="shared" si="84"/>
        <v>4318664.71</v>
      </c>
      <c r="D1209" s="18">
        <v>90027.68</v>
      </c>
      <c r="E1209" s="18"/>
      <c r="F1209" s="18">
        <v>1941377.7</v>
      </c>
      <c r="G1209" s="18"/>
      <c r="H1209" s="18"/>
      <c r="I1209" s="18"/>
      <c r="J1209" s="18">
        <v>2287259.33</v>
      </c>
      <c r="K1209" s="18"/>
      <c r="L1209" s="10"/>
      <c r="M1209" s="18"/>
      <c r="N1209" s="10"/>
      <c r="O1209" s="18"/>
      <c r="P1209" s="18"/>
      <c r="Q1209" s="18"/>
      <c r="R1209" s="18"/>
      <c r="S1209" s="18"/>
    </row>
    <row r="1210" spans="1:19" x14ac:dyDescent="0.25">
      <c r="A1210" s="9" t="s">
        <v>483</v>
      </c>
      <c r="B1210" s="17" t="s">
        <v>804</v>
      </c>
      <c r="C1210" s="18">
        <f t="shared" si="84"/>
        <v>11863096.279999999</v>
      </c>
      <c r="D1210" s="18">
        <v>83868.100000000006</v>
      </c>
      <c r="E1210" s="18"/>
      <c r="F1210" s="18"/>
      <c r="G1210" s="18"/>
      <c r="H1210" s="18"/>
      <c r="I1210" s="18"/>
      <c r="J1210" s="18"/>
      <c r="K1210" s="18"/>
      <c r="L1210" s="10"/>
      <c r="M1210" s="18"/>
      <c r="N1210" s="10"/>
      <c r="O1210" s="18"/>
      <c r="P1210" s="18">
        <v>3533669.42</v>
      </c>
      <c r="Q1210" s="18">
        <v>8245558.7599999998</v>
      </c>
      <c r="R1210" s="18"/>
      <c r="S1210" s="18"/>
    </row>
    <row r="1211" spans="1:19" x14ac:dyDescent="0.25">
      <c r="A1211" s="9" t="s">
        <v>485</v>
      </c>
      <c r="B1211" s="17" t="s">
        <v>1912</v>
      </c>
      <c r="C1211" s="18">
        <f t="shared" si="84"/>
        <v>2290527.31</v>
      </c>
      <c r="D1211" s="18">
        <v>0</v>
      </c>
      <c r="E1211" s="18"/>
      <c r="F1211" s="18">
        <v>2290527.31</v>
      </c>
      <c r="G1211" s="18"/>
      <c r="H1211" s="18"/>
      <c r="I1211" s="18"/>
      <c r="J1211" s="18"/>
      <c r="K1211" s="18"/>
      <c r="L1211" s="10"/>
      <c r="M1211" s="18"/>
      <c r="N1211" s="10"/>
      <c r="O1211" s="18"/>
      <c r="P1211" s="18"/>
      <c r="Q1211" s="18"/>
      <c r="R1211" s="18"/>
      <c r="S1211" s="18"/>
    </row>
    <row r="1212" spans="1:19" x14ac:dyDescent="0.25">
      <c r="A1212" s="9" t="s">
        <v>487</v>
      </c>
      <c r="B1212" s="17" t="s">
        <v>810</v>
      </c>
      <c r="C1212" s="18">
        <f t="shared" si="84"/>
        <v>5323602.5</v>
      </c>
      <c r="D1212" s="18">
        <v>37636.089999999997</v>
      </c>
      <c r="E1212" s="18"/>
      <c r="F1212" s="18"/>
      <c r="G1212" s="18"/>
      <c r="H1212" s="18"/>
      <c r="I1212" s="18"/>
      <c r="J1212" s="18">
        <v>599580.84</v>
      </c>
      <c r="K1212" s="18"/>
      <c r="L1212" s="10"/>
      <c r="M1212" s="18"/>
      <c r="N1212" s="10"/>
      <c r="O1212" s="18"/>
      <c r="P1212" s="18"/>
      <c r="Q1212" s="18">
        <v>4686385.57</v>
      </c>
      <c r="R1212" s="18"/>
      <c r="S1212" s="18"/>
    </row>
    <row r="1213" spans="1:19" x14ac:dyDescent="0.25">
      <c r="A1213" s="9" t="s">
        <v>489</v>
      </c>
      <c r="B1213" s="17" t="s">
        <v>818</v>
      </c>
      <c r="C1213" s="18">
        <f t="shared" si="84"/>
        <v>8897822.4499999993</v>
      </c>
      <c r="D1213" s="18">
        <v>180098.23</v>
      </c>
      <c r="E1213" s="18"/>
      <c r="F1213" s="18"/>
      <c r="G1213" s="18">
        <v>6802134.5499999998</v>
      </c>
      <c r="H1213" s="18"/>
      <c r="I1213" s="18"/>
      <c r="J1213" s="18">
        <v>1915589.67</v>
      </c>
      <c r="K1213" s="18"/>
      <c r="L1213" s="10"/>
      <c r="M1213" s="18"/>
      <c r="N1213" s="10"/>
      <c r="O1213" s="18"/>
      <c r="P1213" s="18"/>
      <c r="Q1213" s="18"/>
      <c r="R1213" s="18"/>
      <c r="S1213" s="18"/>
    </row>
    <row r="1214" spans="1:19" x14ac:dyDescent="0.25">
      <c r="A1214" s="9" t="s">
        <v>491</v>
      </c>
      <c r="B1214" s="17" t="s">
        <v>822</v>
      </c>
      <c r="C1214" s="18">
        <f t="shared" si="84"/>
        <v>12163942.65</v>
      </c>
      <c r="D1214" s="18">
        <v>85994.989999999991</v>
      </c>
      <c r="E1214" s="18"/>
      <c r="F1214" s="18">
        <v>4196137.3499999996</v>
      </c>
      <c r="G1214" s="18">
        <v>7881810.3099999996</v>
      </c>
      <c r="H1214" s="18"/>
      <c r="I1214" s="18"/>
      <c r="J1214" s="18"/>
      <c r="K1214" s="18"/>
      <c r="L1214" s="10"/>
      <c r="M1214" s="18"/>
      <c r="N1214" s="10"/>
      <c r="O1214" s="18"/>
      <c r="P1214" s="18"/>
      <c r="Q1214" s="18"/>
      <c r="R1214" s="18"/>
      <c r="S1214" s="18"/>
    </row>
    <row r="1215" spans="1:19" x14ac:dyDescent="0.25">
      <c r="A1215" s="9" t="s">
        <v>493</v>
      </c>
      <c r="B1215" s="17" t="s">
        <v>826</v>
      </c>
      <c r="C1215" s="18">
        <f t="shared" si="84"/>
        <v>3598689.25</v>
      </c>
      <c r="D1215" s="18">
        <v>25441.52</v>
      </c>
      <c r="E1215" s="18"/>
      <c r="F1215" s="18"/>
      <c r="G1215" s="18">
        <v>2604611.02</v>
      </c>
      <c r="H1215" s="18"/>
      <c r="I1215" s="18"/>
      <c r="J1215" s="18">
        <v>968636.71</v>
      </c>
      <c r="K1215" s="18"/>
      <c r="L1215" s="10"/>
      <c r="M1215" s="18"/>
      <c r="N1215" s="10"/>
      <c r="O1215" s="18"/>
      <c r="P1215" s="18"/>
      <c r="Q1215" s="18"/>
      <c r="R1215" s="18"/>
      <c r="S1215" s="18"/>
    </row>
    <row r="1216" spans="1:19" x14ac:dyDescent="0.25">
      <c r="A1216" s="9" t="s">
        <v>495</v>
      </c>
      <c r="B1216" s="17" t="s">
        <v>828</v>
      </c>
      <c r="C1216" s="18">
        <f t="shared" si="84"/>
        <v>26020983.579999998</v>
      </c>
      <c r="D1216" s="18">
        <v>183959.61</v>
      </c>
      <c r="E1216" s="18"/>
      <c r="F1216" s="18"/>
      <c r="G1216" s="18"/>
      <c r="H1216" s="18"/>
      <c r="I1216" s="18"/>
      <c r="J1216" s="18"/>
      <c r="K1216" s="18"/>
      <c r="L1216" s="10"/>
      <c r="M1216" s="18"/>
      <c r="N1216" s="10"/>
      <c r="O1216" s="18"/>
      <c r="P1216" s="18"/>
      <c r="Q1216" s="18">
        <v>25837023.969999999</v>
      </c>
      <c r="R1216" s="18"/>
      <c r="S1216" s="18"/>
    </row>
    <row r="1217" spans="1:19" x14ac:dyDescent="0.25">
      <c r="A1217" s="9" t="s">
        <v>497</v>
      </c>
      <c r="B1217" s="17" t="s">
        <v>830</v>
      </c>
      <c r="C1217" s="18">
        <f t="shared" si="84"/>
        <v>5053155.83</v>
      </c>
      <c r="D1217" s="18">
        <v>35724.11</v>
      </c>
      <c r="E1217" s="18"/>
      <c r="F1217" s="18"/>
      <c r="G1217" s="18"/>
      <c r="H1217" s="18"/>
      <c r="I1217" s="18"/>
      <c r="J1217" s="18"/>
      <c r="K1217" s="18"/>
      <c r="L1217" s="10"/>
      <c r="M1217" s="18"/>
      <c r="N1217" s="10"/>
      <c r="O1217" s="18"/>
      <c r="P1217" s="18"/>
      <c r="Q1217" s="18">
        <v>5017431.72</v>
      </c>
      <c r="R1217" s="18"/>
      <c r="S1217" s="18"/>
    </row>
    <row r="1218" spans="1:19" ht="15" customHeight="1" x14ac:dyDescent="0.25">
      <c r="A1218" s="9" t="s">
        <v>499</v>
      </c>
      <c r="B1218" s="17" t="s">
        <v>832</v>
      </c>
      <c r="C1218" s="18">
        <f t="shared" si="84"/>
        <v>20565755.98</v>
      </c>
      <c r="D1218" s="18">
        <v>145392.98000000001</v>
      </c>
      <c r="E1218" s="18"/>
      <c r="F1218" s="18"/>
      <c r="G1218" s="18"/>
      <c r="H1218" s="18"/>
      <c r="I1218" s="18"/>
      <c r="J1218" s="18"/>
      <c r="K1218" s="18"/>
      <c r="L1218" s="10"/>
      <c r="M1218" s="18"/>
      <c r="N1218" s="10"/>
      <c r="O1218" s="18"/>
      <c r="P1218" s="18"/>
      <c r="Q1218" s="18">
        <v>20420363</v>
      </c>
      <c r="R1218" s="18"/>
      <c r="S1218" s="18"/>
    </row>
    <row r="1219" spans="1:19" ht="15" customHeight="1" x14ac:dyDescent="0.25">
      <c r="A1219" s="9" t="s">
        <v>501</v>
      </c>
      <c r="B1219" s="17" t="s">
        <v>1913</v>
      </c>
      <c r="C1219" s="18">
        <f t="shared" si="84"/>
        <v>17157480.940000001</v>
      </c>
      <c r="D1219" s="18">
        <v>310068.67</v>
      </c>
      <c r="E1219" s="18">
        <v>100575.37</v>
      </c>
      <c r="F1219" s="18"/>
      <c r="G1219" s="18"/>
      <c r="H1219" s="18"/>
      <c r="I1219" s="18"/>
      <c r="J1219" s="18"/>
      <c r="K1219" s="18"/>
      <c r="L1219" s="10">
        <v>4</v>
      </c>
      <c r="M1219" s="18">
        <v>16746836.9</v>
      </c>
      <c r="N1219" s="10"/>
      <c r="O1219" s="18"/>
      <c r="P1219" s="18"/>
      <c r="Q1219" s="18"/>
      <c r="R1219" s="18"/>
      <c r="S1219" s="18"/>
    </row>
    <row r="1220" spans="1:19" x14ac:dyDescent="0.25">
      <c r="A1220" s="9" t="s">
        <v>503</v>
      </c>
      <c r="B1220" s="17" t="s">
        <v>834</v>
      </c>
      <c r="C1220" s="18">
        <f t="shared" si="84"/>
        <v>4515781.87</v>
      </c>
      <c r="D1220" s="18">
        <v>31925.06</v>
      </c>
      <c r="E1220" s="18"/>
      <c r="F1220" s="18"/>
      <c r="G1220" s="18"/>
      <c r="H1220" s="18">
        <v>4483856.8099999996</v>
      </c>
      <c r="I1220" s="18"/>
      <c r="J1220" s="18"/>
      <c r="K1220" s="18"/>
      <c r="L1220" s="10"/>
      <c r="M1220" s="18"/>
      <c r="N1220" s="10"/>
      <c r="O1220" s="18"/>
      <c r="P1220" s="18"/>
      <c r="Q1220" s="18"/>
      <c r="R1220" s="18"/>
      <c r="S1220" s="18"/>
    </row>
    <row r="1221" spans="1:19" x14ac:dyDescent="0.25">
      <c r="A1221" s="9" t="s">
        <v>505</v>
      </c>
      <c r="B1221" s="17" t="s">
        <v>808</v>
      </c>
      <c r="C1221" s="18">
        <f>ROUNDUP(SUM(D1221+E1221+F1221+G1221+H1221+I1221+J1221+K1221+M1221+O1221+P1221+Q1221+R1221+S1221),2)</f>
        <v>2771417.7</v>
      </c>
      <c r="D1221" s="18">
        <v>57773.48</v>
      </c>
      <c r="E1221" s="18"/>
      <c r="F1221" s="18"/>
      <c r="G1221" s="18"/>
      <c r="H1221" s="18"/>
      <c r="I1221" s="18"/>
      <c r="J1221" s="18">
        <v>2713644.22</v>
      </c>
      <c r="K1221" s="18"/>
      <c r="L1221" s="10"/>
      <c r="M1221" s="18"/>
      <c r="N1221" s="10"/>
      <c r="O1221" s="18"/>
      <c r="P1221" s="18"/>
      <c r="Q1221" s="18"/>
      <c r="R1221" s="18"/>
      <c r="S1221" s="18"/>
    </row>
    <row r="1222" spans="1:19" x14ac:dyDescent="0.25">
      <c r="A1222" s="9" t="s">
        <v>507</v>
      </c>
      <c r="B1222" s="17" t="s">
        <v>812</v>
      </c>
      <c r="C1222" s="18">
        <f t="shared" si="84"/>
        <v>14257777.5</v>
      </c>
      <c r="D1222" s="18">
        <v>297220.26</v>
      </c>
      <c r="E1222" s="18"/>
      <c r="F1222" s="18"/>
      <c r="G1222" s="18">
        <v>11890425.02</v>
      </c>
      <c r="H1222" s="18"/>
      <c r="I1222" s="18"/>
      <c r="J1222" s="18">
        <v>2070132.22</v>
      </c>
      <c r="K1222" s="18"/>
      <c r="L1222" s="10"/>
      <c r="M1222" s="18"/>
      <c r="N1222" s="10"/>
      <c r="O1222" s="18"/>
      <c r="P1222" s="18"/>
      <c r="Q1222" s="18"/>
      <c r="R1222" s="18"/>
      <c r="S1222" s="18"/>
    </row>
    <row r="1223" spans="1:19" x14ac:dyDescent="0.25">
      <c r="A1223" s="9" t="s">
        <v>510</v>
      </c>
      <c r="B1223" s="17" t="s">
        <v>814</v>
      </c>
      <c r="C1223" s="18">
        <f t="shared" si="84"/>
        <v>1924524.92</v>
      </c>
      <c r="D1223" s="18">
        <v>40119</v>
      </c>
      <c r="E1223" s="18"/>
      <c r="F1223" s="18"/>
      <c r="G1223" s="18">
        <v>1412703.33</v>
      </c>
      <c r="H1223" s="18"/>
      <c r="I1223" s="18"/>
      <c r="J1223" s="18">
        <v>471702.59</v>
      </c>
      <c r="K1223" s="18"/>
      <c r="L1223" s="10"/>
      <c r="M1223" s="18"/>
      <c r="N1223" s="10"/>
      <c r="O1223" s="18"/>
      <c r="P1223" s="18"/>
      <c r="Q1223" s="18"/>
      <c r="R1223" s="18"/>
      <c r="S1223" s="18"/>
    </row>
    <row r="1224" spans="1:19" x14ac:dyDescent="0.25">
      <c r="A1224" s="9" t="s">
        <v>512</v>
      </c>
      <c r="B1224" s="17" t="s">
        <v>816</v>
      </c>
      <c r="C1224" s="18">
        <f t="shared" si="84"/>
        <v>1760714.93</v>
      </c>
      <c r="D1224" s="18">
        <v>36704.19</v>
      </c>
      <c r="E1224" s="18"/>
      <c r="F1224" s="18"/>
      <c r="G1224" s="18">
        <v>1255158.31</v>
      </c>
      <c r="H1224" s="18"/>
      <c r="I1224" s="18"/>
      <c r="J1224" s="18">
        <v>468852.43</v>
      </c>
      <c r="K1224" s="18"/>
      <c r="L1224" s="10"/>
      <c r="M1224" s="18"/>
      <c r="N1224" s="10"/>
      <c r="O1224" s="18"/>
      <c r="P1224" s="18"/>
      <c r="Q1224" s="18"/>
      <c r="R1224" s="18"/>
      <c r="S1224" s="18"/>
    </row>
    <row r="1225" spans="1:19" x14ac:dyDescent="0.25">
      <c r="A1225" s="9" t="s">
        <v>514</v>
      </c>
      <c r="B1225" s="17" t="s">
        <v>820</v>
      </c>
      <c r="C1225" s="18">
        <f t="shared" si="84"/>
        <v>8539420.3399999999</v>
      </c>
      <c r="D1225" s="18">
        <v>177749.96</v>
      </c>
      <c r="E1225" s="18"/>
      <c r="F1225" s="18"/>
      <c r="G1225" s="18">
        <v>6710190.6100000003</v>
      </c>
      <c r="H1225" s="18"/>
      <c r="I1225" s="18"/>
      <c r="J1225" s="18">
        <v>1651479.77</v>
      </c>
      <c r="K1225" s="18"/>
      <c r="L1225" s="10"/>
      <c r="M1225" s="18"/>
      <c r="N1225" s="10"/>
      <c r="O1225" s="18"/>
      <c r="P1225" s="18"/>
      <c r="Q1225" s="18"/>
      <c r="R1225" s="18"/>
      <c r="S1225" s="18"/>
    </row>
    <row r="1226" spans="1:19" ht="15" customHeight="1" x14ac:dyDescent="0.25">
      <c r="A1226" s="9" t="s">
        <v>516</v>
      </c>
      <c r="B1226" s="17" t="s">
        <v>1914</v>
      </c>
      <c r="C1226" s="18">
        <f t="shared" si="84"/>
        <v>25682542.16</v>
      </c>
      <c r="D1226" s="18">
        <v>465093.9</v>
      </c>
      <c r="E1226" s="18">
        <v>97192.91</v>
      </c>
      <c r="F1226" s="18"/>
      <c r="G1226" s="18"/>
      <c r="H1226" s="18"/>
      <c r="I1226" s="18"/>
      <c r="J1226" s="18"/>
      <c r="K1226" s="18"/>
      <c r="L1226" s="10">
        <v>6</v>
      </c>
      <c r="M1226" s="18">
        <v>25120255.350000001</v>
      </c>
      <c r="N1226" s="10"/>
      <c r="O1226" s="18"/>
      <c r="P1226" s="18"/>
      <c r="Q1226" s="18"/>
      <c r="R1226" s="18"/>
      <c r="S1226" s="18"/>
    </row>
    <row r="1227" spans="1:19" ht="15" customHeight="1" x14ac:dyDescent="0.25">
      <c r="A1227" s="9" t="s">
        <v>518</v>
      </c>
      <c r="B1227" s="17" t="s">
        <v>836</v>
      </c>
      <c r="C1227" s="18">
        <f t="shared" si="84"/>
        <v>15428426.869999999</v>
      </c>
      <c r="D1227" s="18">
        <v>109073.79</v>
      </c>
      <c r="E1227" s="18"/>
      <c r="F1227" s="18"/>
      <c r="G1227" s="18"/>
      <c r="H1227" s="18"/>
      <c r="I1227" s="18"/>
      <c r="J1227" s="18"/>
      <c r="K1227" s="18"/>
      <c r="L1227" s="10"/>
      <c r="M1227" s="18"/>
      <c r="N1227" s="10"/>
      <c r="O1227" s="18"/>
      <c r="P1227" s="18"/>
      <c r="Q1227" s="18"/>
      <c r="R1227" s="18">
        <v>15319353.08</v>
      </c>
      <c r="S1227" s="18"/>
    </row>
    <row r="1228" spans="1:19" x14ac:dyDescent="0.25">
      <c r="A1228" s="9" t="s">
        <v>520</v>
      </c>
      <c r="B1228" s="17" t="s">
        <v>838</v>
      </c>
      <c r="C1228" s="18">
        <f t="shared" si="84"/>
        <v>14337739.92</v>
      </c>
      <c r="D1228" s="18">
        <v>0.01</v>
      </c>
      <c r="E1228" s="18"/>
      <c r="F1228" s="18"/>
      <c r="G1228" s="18"/>
      <c r="H1228" s="18"/>
      <c r="I1228" s="18"/>
      <c r="J1228" s="18"/>
      <c r="K1228" s="18"/>
      <c r="L1228" s="10"/>
      <c r="M1228" s="18"/>
      <c r="N1228" s="10"/>
      <c r="O1228" s="18"/>
      <c r="P1228" s="18"/>
      <c r="Q1228" s="18"/>
      <c r="R1228" s="18">
        <v>14337739.91</v>
      </c>
      <c r="S1228" s="18"/>
    </row>
    <row r="1229" spans="1:19" x14ac:dyDescent="0.25">
      <c r="A1229" s="9" t="s">
        <v>522</v>
      </c>
      <c r="B1229" s="17" t="s">
        <v>846</v>
      </c>
      <c r="C1229" s="18">
        <f t="shared" si="84"/>
        <v>2738431.92</v>
      </c>
      <c r="D1229" s="18">
        <v>19359.79</v>
      </c>
      <c r="E1229" s="18"/>
      <c r="F1229" s="18"/>
      <c r="G1229" s="18"/>
      <c r="H1229" s="18"/>
      <c r="I1229" s="18"/>
      <c r="J1229" s="18"/>
      <c r="K1229" s="18"/>
      <c r="L1229" s="10"/>
      <c r="M1229" s="18"/>
      <c r="N1229" s="10"/>
      <c r="O1229" s="18"/>
      <c r="P1229" s="18">
        <v>2719072.13</v>
      </c>
      <c r="Q1229" s="18"/>
      <c r="R1229" s="18"/>
      <c r="S1229" s="18"/>
    </row>
    <row r="1230" spans="1:19" x14ac:dyDescent="0.25">
      <c r="A1230" s="9" t="s">
        <v>524</v>
      </c>
      <c r="B1230" s="17" t="s">
        <v>1915</v>
      </c>
      <c r="C1230" s="18">
        <f t="shared" si="84"/>
        <v>2117243.2999999998</v>
      </c>
      <c r="D1230" s="18"/>
      <c r="E1230" s="18"/>
      <c r="F1230" s="18"/>
      <c r="G1230" s="18"/>
      <c r="H1230" s="18">
        <v>570994.65</v>
      </c>
      <c r="I1230" s="18">
        <v>570994.64</v>
      </c>
      <c r="J1230" s="18"/>
      <c r="K1230" s="18"/>
      <c r="L1230" s="10"/>
      <c r="M1230" s="18"/>
      <c r="N1230" s="10"/>
      <c r="O1230" s="18"/>
      <c r="P1230" s="18">
        <v>975254.01</v>
      </c>
      <c r="Q1230" s="18"/>
      <c r="R1230" s="18"/>
      <c r="S1230" s="18"/>
    </row>
    <row r="1231" spans="1:19" x14ac:dyDescent="0.25">
      <c r="A1231" s="9" t="s">
        <v>526</v>
      </c>
      <c r="B1231" s="17" t="s">
        <v>850</v>
      </c>
      <c r="C1231" s="18">
        <f t="shared" si="84"/>
        <v>4537893.16</v>
      </c>
      <c r="D1231" s="18">
        <v>32081.38</v>
      </c>
      <c r="E1231" s="18"/>
      <c r="F1231" s="18"/>
      <c r="G1231" s="18"/>
      <c r="H1231" s="18"/>
      <c r="I1231" s="18"/>
      <c r="J1231" s="18"/>
      <c r="K1231" s="18"/>
      <c r="L1231" s="10"/>
      <c r="M1231" s="18"/>
      <c r="N1231" s="10"/>
      <c r="O1231" s="18"/>
      <c r="P1231" s="18">
        <v>4505811.78</v>
      </c>
      <c r="Q1231" s="18"/>
      <c r="R1231" s="18"/>
      <c r="S1231" s="18"/>
    </row>
    <row r="1232" spans="1:19" x14ac:dyDescent="0.25">
      <c r="A1232" s="9" t="s">
        <v>528</v>
      </c>
      <c r="B1232" s="17" t="s">
        <v>852</v>
      </c>
      <c r="C1232" s="18">
        <f t="shared" si="84"/>
        <v>7654208.7400000002</v>
      </c>
      <c r="D1232" s="18">
        <v>54112.68</v>
      </c>
      <c r="E1232" s="18"/>
      <c r="F1232" s="18"/>
      <c r="G1232" s="18"/>
      <c r="H1232" s="18"/>
      <c r="I1232" s="18"/>
      <c r="J1232" s="18"/>
      <c r="K1232" s="18"/>
      <c r="L1232" s="10"/>
      <c r="M1232" s="18"/>
      <c r="N1232" s="10" t="s">
        <v>883</v>
      </c>
      <c r="O1232" s="18">
        <v>7600096.0599999996</v>
      </c>
      <c r="P1232" s="18"/>
      <c r="Q1232" s="18"/>
      <c r="R1232" s="18"/>
      <c r="S1232" s="18"/>
    </row>
    <row r="1233" spans="1:19" x14ac:dyDescent="0.25">
      <c r="A1233" s="9" t="s">
        <v>530</v>
      </c>
      <c r="B1233" s="17" t="s">
        <v>854</v>
      </c>
      <c r="C1233" s="18">
        <f t="shared" si="84"/>
        <v>6352310</v>
      </c>
      <c r="D1233" s="18">
        <v>44908.68</v>
      </c>
      <c r="E1233" s="18"/>
      <c r="F1233" s="18"/>
      <c r="G1233" s="18"/>
      <c r="H1233" s="18"/>
      <c r="I1233" s="18"/>
      <c r="J1233" s="18"/>
      <c r="K1233" s="18"/>
      <c r="L1233" s="10"/>
      <c r="M1233" s="18"/>
      <c r="N1233" s="10" t="s">
        <v>883</v>
      </c>
      <c r="O1233" s="18">
        <v>6307401.3200000003</v>
      </c>
      <c r="P1233" s="18"/>
      <c r="Q1233" s="18"/>
      <c r="R1233" s="18"/>
      <c r="S1233" s="18"/>
    </row>
    <row r="1234" spans="1:19" x14ac:dyDescent="0.25">
      <c r="A1234" s="9" t="s">
        <v>532</v>
      </c>
      <c r="B1234" s="17" t="s">
        <v>856</v>
      </c>
      <c r="C1234" s="18">
        <f t="shared" si="84"/>
        <v>9863381.9399999995</v>
      </c>
      <c r="D1234" s="18">
        <v>69730.789999999994</v>
      </c>
      <c r="E1234" s="18"/>
      <c r="F1234" s="18">
        <v>1390327</v>
      </c>
      <c r="G1234" s="18"/>
      <c r="H1234" s="18"/>
      <c r="I1234" s="18"/>
      <c r="J1234" s="18">
        <v>640134.69999999995</v>
      </c>
      <c r="K1234" s="18"/>
      <c r="L1234" s="10"/>
      <c r="M1234" s="18"/>
      <c r="N1234" s="10" t="s">
        <v>552</v>
      </c>
      <c r="O1234" s="18">
        <v>6431838.9000000004</v>
      </c>
      <c r="P1234" s="18">
        <v>1331350.55</v>
      </c>
      <c r="Q1234" s="18"/>
      <c r="R1234" s="18"/>
      <c r="S1234" s="18"/>
    </row>
    <row r="1235" spans="1:19" x14ac:dyDescent="0.25">
      <c r="A1235" s="9" t="s">
        <v>534</v>
      </c>
      <c r="B1235" s="17" t="s">
        <v>858</v>
      </c>
      <c r="C1235" s="18">
        <f t="shared" si="84"/>
        <v>6416654.8799999999</v>
      </c>
      <c r="D1235" s="18">
        <v>45363.59</v>
      </c>
      <c r="E1235" s="18"/>
      <c r="F1235" s="18"/>
      <c r="G1235" s="18"/>
      <c r="H1235" s="18"/>
      <c r="I1235" s="18"/>
      <c r="J1235" s="18"/>
      <c r="K1235" s="18"/>
      <c r="L1235" s="10"/>
      <c r="M1235" s="18"/>
      <c r="N1235" s="10" t="s">
        <v>552</v>
      </c>
      <c r="O1235" s="18">
        <v>6371291.29</v>
      </c>
      <c r="P1235" s="18"/>
      <c r="Q1235" s="18"/>
      <c r="R1235" s="18"/>
      <c r="S1235" s="18"/>
    </row>
    <row r="1236" spans="1:19" x14ac:dyDescent="0.25">
      <c r="A1236" s="9" t="s">
        <v>536</v>
      </c>
      <c r="B1236" s="17" t="s">
        <v>860</v>
      </c>
      <c r="C1236" s="18">
        <f t="shared" si="84"/>
        <v>11193429.220000001</v>
      </c>
      <c r="D1236" s="18">
        <v>79133.77</v>
      </c>
      <c r="E1236" s="18"/>
      <c r="F1236" s="18">
        <v>1525851.11</v>
      </c>
      <c r="G1236" s="18">
        <v>2215792.7799999998</v>
      </c>
      <c r="H1236" s="18"/>
      <c r="I1236" s="18"/>
      <c r="J1236" s="18">
        <v>808249.25</v>
      </c>
      <c r="K1236" s="18"/>
      <c r="L1236" s="10"/>
      <c r="M1236" s="18"/>
      <c r="N1236" s="10" t="s">
        <v>552</v>
      </c>
      <c r="O1236" s="18">
        <v>6564402.3099999996</v>
      </c>
      <c r="P1236" s="18"/>
      <c r="Q1236" s="18"/>
      <c r="R1236" s="18"/>
      <c r="S1236" s="18"/>
    </row>
    <row r="1237" spans="1:19" x14ac:dyDescent="0.25">
      <c r="A1237" s="9" t="s">
        <v>538</v>
      </c>
      <c r="B1237" s="17" t="s">
        <v>862</v>
      </c>
      <c r="C1237" s="18">
        <f t="shared" si="84"/>
        <v>11484390.630000001</v>
      </c>
      <c r="D1237" s="18">
        <v>81190.77</v>
      </c>
      <c r="E1237" s="18"/>
      <c r="F1237" s="18">
        <v>1390327</v>
      </c>
      <c r="G1237" s="18">
        <v>1622618.56</v>
      </c>
      <c r="H1237" s="18"/>
      <c r="I1237" s="18"/>
      <c r="J1237" s="18">
        <v>607330.49</v>
      </c>
      <c r="K1237" s="18"/>
      <c r="L1237" s="10"/>
      <c r="M1237" s="18"/>
      <c r="N1237" s="10" t="s">
        <v>552</v>
      </c>
      <c r="O1237" s="18">
        <v>6431838.9000000004</v>
      </c>
      <c r="P1237" s="18">
        <v>1351084.91</v>
      </c>
      <c r="Q1237" s="18"/>
      <c r="R1237" s="18"/>
      <c r="S1237" s="18"/>
    </row>
    <row r="1238" spans="1:19" x14ac:dyDescent="0.25">
      <c r="A1238" s="9" t="s">
        <v>540</v>
      </c>
      <c r="B1238" s="17" t="s">
        <v>864</v>
      </c>
      <c r="C1238" s="18">
        <f t="shared" si="84"/>
        <v>1344956.64</v>
      </c>
      <c r="D1238" s="18">
        <v>28037.21</v>
      </c>
      <c r="E1238" s="18"/>
      <c r="F1238" s="18"/>
      <c r="G1238" s="18">
        <v>1316919.43</v>
      </c>
      <c r="H1238" s="18"/>
      <c r="I1238" s="18"/>
      <c r="J1238" s="18"/>
      <c r="K1238" s="18"/>
      <c r="L1238" s="10"/>
      <c r="M1238" s="18"/>
      <c r="N1238" s="10"/>
      <c r="O1238" s="18"/>
      <c r="P1238" s="18"/>
      <c r="Q1238" s="18"/>
      <c r="R1238" s="18"/>
      <c r="S1238" s="18"/>
    </row>
    <row r="1239" spans="1:19" x14ac:dyDescent="0.25">
      <c r="A1239" s="9" t="s">
        <v>542</v>
      </c>
      <c r="B1239" s="17" t="s">
        <v>866</v>
      </c>
      <c r="C1239" s="18">
        <f t="shared" si="84"/>
        <v>13597919.23</v>
      </c>
      <c r="D1239" s="18">
        <v>96132.72</v>
      </c>
      <c r="E1239" s="18"/>
      <c r="F1239" s="18"/>
      <c r="G1239" s="18"/>
      <c r="H1239" s="18"/>
      <c r="I1239" s="18"/>
      <c r="J1239" s="18"/>
      <c r="K1239" s="18"/>
      <c r="L1239" s="10"/>
      <c r="M1239" s="18"/>
      <c r="N1239" s="10" t="s">
        <v>883</v>
      </c>
      <c r="O1239" s="18">
        <v>13501786.51</v>
      </c>
      <c r="P1239" s="18"/>
      <c r="Q1239" s="18"/>
      <c r="R1239" s="18"/>
      <c r="S1239" s="18"/>
    </row>
    <row r="1240" spans="1:19" x14ac:dyDescent="0.25">
      <c r="A1240" s="9" t="s">
        <v>544</v>
      </c>
      <c r="B1240" s="17" t="s">
        <v>868</v>
      </c>
      <c r="C1240" s="18">
        <f t="shared" si="84"/>
        <v>11063843.51</v>
      </c>
      <c r="D1240" s="18">
        <v>78217.66</v>
      </c>
      <c r="E1240" s="18"/>
      <c r="F1240" s="18">
        <v>1671659.88</v>
      </c>
      <c r="G1240" s="18"/>
      <c r="H1240" s="18"/>
      <c r="I1240" s="18"/>
      <c r="J1240" s="18">
        <v>831556.68</v>
      </c>
      <c r="K1240" s="18"/>
      <c r="L1240" s="10"/>
      <c r="M1240" s="18"/>
      <c r="N1240" s="10"/>
      <c r="O1240" s="18"/>
      <c r="P1240" s="18">
        <v>2853170.08</v>
      </c>
      <c r="Q1240" s="18">
        <v>5629239.21</v>
      </c>
      <c r="R1240" s="18"/>
      <c r="S1240" s="18"/>
    </row>
    <row r="1241" spans="1:19" x14ac:dyDescent="0.25">
      <c r="A1241" s="9" t="s">
        <v>548</v>
      </c>
      <c r="B1241" s="17" t="s">
        <v>870</v>
      </c>
      <c r="C1241" s="18">
        <f t="shared" si="84"/>
        <v>10876597.59</v>
      </c>
      <c r="D1241" s="18">
        <v>76893.89</v>
      </c>
      <c r="E1241" s="18"/>
      <c r="F1241" s="18">
        <v>1584833.13</v>
      </c>
      <c r="G1241" s="18"/>
      <c r="H1241" s="18"/>
      <c r="I1241" s="18"/>
      <c r="J1241" s="18">
        <v>898922.76</v>
      </c>
      <c r="K1241" s="18"/>
      <c r="L1241" s="10"/>
      <c r="M1241" s="18"/>
      <c r="N1241" s="10"/>
      <c r="O1241" s="18"/>
      <c r="P1241" s="18">
        <v>3018158.23</v>
      </c>
      <c r="Q1241" s="18">
        <v>5297789.58</v>
      </c>
      <c r="R1241" s="18"/>
      <c r="S1241" s="18"/>
    </row>
    <row r="1242" spans="1:19" x14ac:dyDescent="0.25">
      <c r="A1242" s="9"/>
      <c r="B1242" s="50" t="s">
        <v>2085</v>
      </c>
      <c r="C1242" s="18">
        <f>ROUND(D1242+E1242+F1242+G1242+H1242+I1242+J1242+K1242+M1242+O1242+P1242+Q1242+R1242+S1242,2)</f>
        <v>417263665.76999998</v>
      </c>
      <c r="D1242" s="18">
        <f t="shared" ref="D1242:S1242" si="85">SUM(D1204:D1241)</f>
        <v>3896228.45</v>
      </c>
      <c r="E1242" s="18">
        <f t="shared" si="85"/>
        <v>197768.28</v>
      </c>
      <c r="F1242" s="18">
        <f t="shared" si="85"/>
        <v>18829804.339999996</v>
      </c>
      <c r="G1242" s="18">
        <f t="shared" si="85"/>
        <v>56253177.68</v>
      </c>
      <c r="H1242" s="18">
        <f t="shared" si="85"/>
        <v>5054851.46</v>
      </c>
      <c r="I1242" s="18">
        <f t="shared" si="85"/>
        <v>570994.64</v>
      </c>
      <c r="J1242" s="18">
        <f t="shared" si="85"/>
        <v>16933071.66</v>
      </c>
      <c r="K1242" s="18">
        <f t="shared" si="85"/>
        <v>0</v>
      </c>
      <c r="L1242" s="10">
        <f t="shared" si="85"/>
        <v>10</v>
      </c>
      <c r="M1242" s="18">
        <f t="shared" si="85"/>
        <v>41867092.25</v>
      </c>
      <c r="N1242" s="18" t="s">
        <v>42</v>
      </c>
      <c r="O1242" s="18">
        <f t="shared" si="85"/>
        <v>79197800.909999996</v>
      </c>
      <c r="P1242" s="18">
        <f t="shared" si="85"/>
        <v>20287571.110000003</v>
      </c>
      <c r="Q1242" s="18">
        <f t="shared" si="85"/>
        <v>144518212.00000003</v>
      </c>
      <c r="R1242" s="18">
        <f t="shared" si="85"/>
        <v>29657092.990000002</v>
      </c>
      <c r="S1242" s="18">
        <f t="shared" si="85"/>
        <v>0</v>
      </c>
    </row>
    <row r="1243" spans="1:19" x14ac:dyDescent="0.25">
      <c r="A1243" s="9"/>
      <c r="B1243" s="46" t="s">
        <v>876</v>
      </c>
      <c r="C1243" s="19"/>
      <c r="D1243" s="13"/>
      <c r="E1243" s="13"/>
      <c r="F1243" s="13"/>
      <c r="G1243" s="13"/>
      <c r="H1243" s="13"/>
      <c r="I1243" s="13"/>
      <c r="J1243" s="13"/>
      <c r="K1243" s="13"/>
      <c r="L1243" s="14"/>
      <c r="M1243" s="13"/>
      <c r="N1243" s="14"/>
      <c r="O1243" s="13"/>
      <c r="P1243" s="13"/>
      <c r="Q1243" s="13"/>
      <c r="R1243" s="13"/>
      <c r="S1243" s="13"/>
    </row>
    <row r="1244" spans="1:19" x14ac:dyDescent="0.25">
      <c r="A1244" s="9" t="s">
        <v>550</v>
      </c>
      <c r="B1244" s="17" t="s">
        <v>878</v>
      </c>
      <c r="C1244" s="18">
        <f>ROUNDUP(SUM(D1244+E1244+F1244+G1244+H1244+I1244+J1244+K1244+M1244+O1244+P1244+Q1244+R1244+S1244),2)</f>
        <v>3197678.95</v>
      </c>
      <c r="D1244" s="18">
        <v>59407.48</v>
      </c>
      <c r="E1244" s="18"/>
      <c r="F1244" s="18"/>
      <c r="G1244" s="18">
        <v>2147386.14</v>
      </c>
      <c r="H1244" s="18"/>
      <c r="I1244" s="18"/>
      <c r="J1244" s="18"/>
      <c r="K1244" s="18"/>
      <c r="L1244" s="10"/>
      <c r="M1244" s="18"/>
      <c r="N1244" s="10"/>
      <c r="O1244" s="18"/>
      <c r="P1244" s="18"/>
      <c r="Q1244" s="18"/>
      <c r="R1244" s="18"/>
      <c r="S1244" s="18">
        <v>990885.33</v>
      </c>
    </row>
    <row r="1245" spans="1:19" x14ac:dyDescent="0.25">
      <c r="A1245" s="9" t="s">
        <v>553</v>
      </c>
      <c r="B1245" s="17" t="s">
        <v>882</v>
      </c>
      <c r="C1245" s="18">
        <f>ROUNDUP(SUM(D1245+E1245+F1245+G1245+H1245+I1245+J1245+K1245+M1245+O1245+P1245+Q1245+R1245+S1245),2)</f>
        <v>676565.78</v>
      </c>
      <c r="D1245" s="18">
        <v>64761.78</v>
      </c>
      <c r="E1245" s="18"/>
      <c r="F1245" s="18"/>
      <c r="G1245" s="18"/>
      <c r="H1245" s="18"/>
      <c r="I1245" s="18"/>
      <c r="J1245" s="18"/>
      <c r="K1245" s="18"/>
      <c r="L1245" s="10"/>
      <c r="M1245" s="18"/>
      <c r="N1245" s="10"/>
      <c r="O1245" s="18"/>
      <c r="P1245" s="18"/>
      <c r="Q1245" s="18"/>
      <c r="R1245" s="18"/>
      <c r="S1245" s="18">
        <v>611804</v>
      </c>
    </row>
    <row r="1246" spans="1:19" x14ac:dyDescent="0.25">
      <c r="A1246" s="9" t="s">
        <v>555</v>
      </c>
      <c r="B1246" s="17" t="s">
        <v>1916</v>
      </c>
      <c r="C1246" s="18">
        <f>ROUND(SUM(D1246+E1246+F1246+G1246+H1246+I1246+J1246+K1246+M1246+O1246+P1246+Q1246+R1246+S1246),2)</f>
        <v>222289.18</v>
      </c>
      <c r="D1246" s="18"/>
      <c r="E1246" s="18">
        <v>222289.18</v>
      </c>
      <c r="F1246" s="18"/>
      <c r="G1246" s="18"/>
      <c r="H1246" s="18"/>
      <c r="I1246" s="18"/>
      <c r="J1246" s="18"/>
      <c r="K1246" s="18"/>
      <c r="L1246" s="10"/>
      <c r="M1246" s="18"/>
      <c r="N1246" s="10"/>
      <c r="O1246" s="18"/>
      <c r="P1246" s="18"/>
      <c r="Q1246" s="18"/>
      <c r="R1246" s="18"/>
      <c r="S1246" s="18"/>
    </row>
    <row r="1247" spans="1:19" x14ac:dyDescent="0.25">
      <c r="A1247" s="9" t="s">
        <v>557</v>
      </c>
      <c r="B1247" s="17" t="s">
        <v>887</v>
      </c>
      <c r="C1247" s="18">
        <f>ROUND(SUM(D1247+E1247+F1247+G1247+H1247+I1247+J1247+K1247+M1247+O1247+P1247+Q1247+R1247+S1247),2)</f>
        <v>9310608.1600000001</v>
      </c>
      <c r="D1247" s="18">
        <v>172975.39</v>
      </c>
      <c r="E1247" s="18"/>
      <c r="F1247" s="18">
        <v>677252.1</v>
      </c>
      <c r="G1247" s="18">
        <v>1450201.29</v>
      </c>
      <c r="H1247" s="18">
        <v>849930.61</v>
      </c>
      <c r="I1247" s="18">
        <v>388793.4</v>
      </c>
      <c r="J1247" s="18"/>
      <c r="K1247" s="18"/>
      <c r="L1247" s="10"/>
      <c r="M1247" s="18"/>
      <c r="N1247" s="10" t="s">
        <v>552</v>
      </c>
      <c r="O1247" s="18">
        <v>5771455.3700000001</v>
      </c>
      <c r="P1247" s="18"/>
      <c r="Q1247" s="18"/>
      <c r="R1247" s="18"/>
      <c r="S1247" s="18"/>
    </row>
    <row r="1248" spans="1:19" x14ac:dyDescent="0.25">
      <c r="A1248" s="9" t="s">
        <v>559</v>
      </c>
      <c r="B1248" s="17" t="s">
        <v>889</v>
      </c>
      <c r="C1248" s="18">
        <f>ROUNDUP(SUM(D1248+E1248+F1248+G1248+H1248+I1248+J1248+K1248+M1248+O1248+P1248+Q1248+R1248+S1248),2)</f>
        <v>17206998.149999999</v>
      </c>
      <c r="D1248" s="18">
        <v>319676.99</v>
      </c>
      <c r="E1248" s="18"/>
      <c r="F1248" s="18"/>
      <c r="G1248" s="18">
        <v>2944211.14</v>
      </c>
      <c r="H1248" s="18">
        <v>1892511.56</v>
      </c>
      <c r="I1248" s="18">
        <v>851182.92</v>
      </c>
      <c r="J1248" s="18"/>
      <c r="K1248" s="18"/>
      <c r="L1248" s="10"/>
      <c r="M1248" s="18"/>
      <c r="N1248" s="10" t="s">
        <v>883</v>
      </c>
      <c r="O1248" s="18">
        <v>9010084.0800000001</v>
      </c>
      <c r="P1248" s="18"/>
      <c r="Q1248" s="18"/>
      <c r="R1248" s="18">
        <v>2189331.46</v>
      </c>
      <c r="S1248" s="18"/>
    </row>
    <row r="1249" spans="1:19" x14ac:dyDescent="0.25">
      <c r="A1249" s="9" t="s">
        <v>561</v>
      </c>
      <c r="B1249" s="17" t="s">
        <v>891</v>
      </c>
      <c r="C1249" s="18">
        <f>ROUNDUP(SUM(D1249+E1249+F1249+G1249+H1249+I1249+J1249+K1249+M1249+O1249+P1249+Q1249+R1249+S1249),2)</f>
        <v>10654908.460000001</v>
      </c>
      <c r="D1249" s="18">
        <v>197950.22</v>
      </c>
      <c r="E1249" s="18"/>
      <c r="F1249" s="18"/>
      <c r="G1249" s="18">
        <v>1986874.35</v>
      </c>
      <c r="H1249" s="18">
        <v>1229590.07</v>
      </c>
      <c r="I1249" s="18">
        <v>567147.84</v>
      </c>
      <c r="J1249" s="18"/>
      <c r="K1249" s="18"/>
      <c r="L1249" s="10"/>
      <c r="M1249" s="18"/>
      <c r="N1249" s="10" t="s">
        <v>552</v>
      </c>
      <c r="O1249" s="18">
        <v>6673345.9800000004</v>
      </c>
      <c r="P1249" s="18"/>
      <c r="Q1249" s="18"/>
      <c r="R1249" s="18"/>
      <c r="S1249" s="18"/>
    </row>
    <row r="1250" spans="1:19" x14ac:dyDescent="0.25">
      <c r="A1250" s="9" t="s">
        <v>563</v>
      </c>
      <c r="B1250" s="17" t="s">
        <v>893</v>
      </c>
      <c r="C1250" s="18">
        <f t="shared" ref="C1250:C1252" si="86">ROUNDUP(SUM(D1250+E1250+F1250+G1250+H1250+I1250+J1250+K1250+M1250+O1250+P1250+Q1250+R1250+S1250),2)</f>
        <v>14191385.949999999</v>
      </c>
      <c r="D1250" s="18">
        <v>263652</v>
      </c>
      <c r="E1250" s="18"/>
      <c r="F1250" s="18">
        <v>1177262.74</v>
      </c>
      <c r="G1250" s="18">
        <v>2029860.96</v>
      </c>
      <c r="H1250" s="18">
        <v>1267878.07</v>
      </c>
      <c r="I1250" s="18">
        <v>580883.76</v>
      </c>
      <c r="J1250" s="18">
        <v>575184.1</v>
      </c>
      <c r="K1250" s="18"/>
      <c r="L1250" s="10"/>
      <c r="M1250" s="18"/>
      <c r="N1250" s="10" t="s">
        <v>883</v>
      </c>
      <c r="O1250" s="18">
        <v>6065987.0599999996</v>
      </c>
      <c r="P1250" s="18"/>
      <c r="Q1250" s="18"/>
      <c r="R1250" s="18">
        <v>2230677.2599999998</v>
      </c>
      <c r="S1250" s="18"/>
    </row>
    <row r="1251" spans="1:19" x14ac:dyDescent="0.25">
      <c r="A1251" s="9" t="s">
        <v>565</v>
      </c>
      <c r="B1251" s="17" t="s">
        <v>895</v>
      </c>
      <c r="C1251" s="18">
        <f t="shared" si="86"/>
        <v>17108489.010000002</v>
      </c>
      <c r="D1251" s="18">
        <v>317846.86</v>
      </c>
      <c r="E1251" s="18"/>
      <c r="F1251" s="18">
        <v>1630009.45</v>
      </c>
      <c r="G1251" s="18">
        <v>3053437.21</v>
      </c>
      <c r="H1251" s="18">
        <v>1931081.31</v>
      </c>
      <c r="I1251" s="18">
        <v>871017.93</v>
      </c>
      <c r="J1251" s="18">
        <v>225949.32</v>
      </c>
      <c r="K1251" s="18"/>
      <c r="L1251" s="10"/>
      <c r="M1251" s="18"/>
      <c r="N1251" s="10" t="s">
        <v>883</v>
      </c>
      <c r="O1251" s="18">
        <v>9003959.9700000007</v>
      </c>
      <c r="P1251" s="18"/>
      <c r="Q1251" s="18"/>
      <c r="R1251" s="18"/>
      <c r="S1251" s="18">
        <v>75186.960000000006</v>
      </c>
    </row>
    <row r="1252" spans="1:19" x14ac:dyDescent="0.25">
      <c r="A1252" s="9" t="s">
        <v>567</v>
      </c>
      <c r="B1252" s="17" t="s">
        <v>897</v>
      </c>
      <c r="C1252" s="18">
        <f t="shared" si="86"/>
        <v>19220444.449999999</v>
      </c>
      <c r="D1252" s="18">
        <v>357083.43</v>
      </c>
      <c r="E1252" s="18"/>
      <c r="F1252" s="18">
        <v>1630009.45</v>
      </c>
      <c r="G1252" s="18">
        <v>3019157.98</v>
      </c>
      <c r="H1252" s="18">
        <v>1933050.26</v>
      </c>
      <c r="I1252" s="18">
        <v>858252.15</v>
      </c>
      <c r="J1252" s="18">
        <v>212639.09</v>
      </c>
      <c r="K1252" s="18"/>
      <c r="L1252" s="10"/>
      <c r="M1252" s="18"/>
      <c r="N1252" s="10" t="s">
        <v>883</v>
      </c>
      <c r="O1252" s="18">
        <v>9001792.6999999993</v>
      </c>
      <c r="P1252" s="18"/>
      <c r="Q1252" s="18"/>
      <c r="R1252" s="18">
        <v>2208459.39</v>
      </c>
      <c r="S1252" s="18"/>
    </row>
    <row r="1253" spans="1:19" x14ac:dyDescent="0.25">
      <c r="A1253" s="9" t="s">
        <v>569</v>
      </c>
      <c r="B1253" s="17" t="s">
        <v>899</v>
      </c>
      <c r="C1253" s="18">
        <f>ROUNDUP(SUM(D1253+E1253+F1253+G1253+H1253+I1253+J1253+K1253+M1253+O1253+P1253+Q1253+R1253+S1253),2)</f>
        <v>14084226.48</v>
      </c>
      <c r="D1253" s="18">
        <v>261661.16</v>
      </c>
      <c r="E1253" s="18"/>
      <c r="F1253" s="18">
        <v>1179530.29</v>
      </c>
      <c r="G1253" s="18">
        <v>1985354.27</v>
      </c>
      <c r="H1253" s="18">
        <v>1244791.8700000001</v>
      </c>
      <c r="I1253" s="18">
        <v>571359.67000000004</v>
      </c>
      <c r="J1253" s="18">
        <v>587199.84</v>
      </c>
      <c r="K1253" s="18"/>
      <c r="L1253" s="10"/>
      <c r="M1253" s="18"/>
      <c r="N1253" s="10" t="s">
        <v>883</v>
      </c>
      <c r="O1253" s="18">
        <v>6044254.5800000001</v>
      </c>
      <c r="P1253" s="18"/>
      <c r="Q1253" s="18"/>
      <c r="R1253" s="18">
        <v>2210074.7999999998</v>
      </c>
      <c r="S1253" s="18"/>
    </row>
    <row r="1254" spans="1:19" ht="30" x14ac:dyDescent="0.25">
      <c r="A1254" s="9"/>
      <c r="B1254" s="50" t="s">
        <v>2086</v>
      </c>
      <c r="C1254" s="18">
        <f>ROUND(D1254+E1254+F1254+G1254+H1254+I1254+J1254+K1254+M1254+O1254+P1254+Q1254+R1254+S1254,2)</f>
        <v>105873594.56999999</v>
      </c>
      <c r="D1254" s="18">
        <f t="shared" ref="D1254:S1254" si="87">SUM(D1244:D1253)</f>
        <v>2015015.3099999996</v>
      </c>
      <c r="E1254" s="18">
        <f t="shared" si="87"/>
        <v>222289.18</v>
      </c>
      <c r="F1254" s="18">
        <f t="shared" si="87"/>
        <v>6294064.0300000003</v>
      </c>
      <c r="G1254" s="18">
        <f t="shared" si="87"/>
        <v>18616483.34</v>
      </c>
      <c r="H1254" s="18">
        <f t="shared" si="87"/>
        <v>10348833.75</v>
      </c>
      <c r="I1254" s="18">
        <f t="shared" si="87"/>
        <v>4688637.67</v>
      </c>
      <c r="J1254" s="18">
        <f t="shared" si="87"/>
        <v>1600972.3499999999</v>
      </c>
      <c r="K1254" s="18">
        <f t="shared" si="87"/>
        <v>0</v>
      </c>
      <c r="L1254" s="10">
        <f t="shared" si="87"/>
        <v>0</v>
      </c>
      <c r="M1254" s="18">
        <f t="shared" si="87"/>
        <v>0</v>
      </c>
      <c r="N1254" s="18" t="s">
        <v>42</v>
      </c>
      <c r="O1254" s="18">
        <f t="shared" si="87"/>
        <v>51570879.739999995</v>
      </c>
      <c r="P1254" s="18">
        <f t="shared" si="87"/>
        <v>0</v>
      </c>
      <c r="Q1254" s="18">
        <f t="shared" si="87"/>
        <v>0</v>
      </c>
      <c r="R1254" s="18">
        <f t="shared" si="87"/>
        <v>8838542.9100000001</v>
      </c>
      <c r="S1254" s="18">
        <f t="shared" si="87"/>
        <v>1677876.29</v>
      </c>
    </row>
    <row r="1255" spans="1:19" x14ac:dyDescent="0.25">
      <c r="A1255" s="9"/>
      <c r="B1255" s="34" t="s">
        <v>901</v>
      </c>
      <c r="C1255" s="19"/>
      <c r="D1255" s="46"/>
      <c r="E1255" s="47"/>
      <c r="F1255" s="13"/>
      <c r="G1255" s="13"/>
      <c r="H1255" s="13"/>
      <c r="I1255" s="13"/>
      <c r="J1255" s="13"/>
      <c r="K1255" s="13"/>
      <c r="L1255" s="14"/>
      <c r="M1255" s="13"/>
      <c r="N1255" s="14"/>
      <c r="O1255" s="13"/>
      <c r="P1255" s="13"/>
      <c r="Q1255" s="13"/>
      <c r="R1255" s="13"/>
      <c r="S1255" s="13"/>
    </row>
    <row r="1256" spans="1:19" x14ac:dyDescent="0.25">
      <c r="A1256" s="9" t="s">
        <v>571</v>
      </c>
      <c r="B1256" s="17" t="s">
        <v>903</v>
      </c>
      <c r="C1256" s="18">
        <f t="shared" ref="C1256:C1270" si="88">ROUNDUP(SUM(D1256+E1256+F1256+G1256+H1256+I1256+J1256+K1256+M1256+O1256+P1256+Q1256+R1256+S1256),2)</f>
        <v>23492690.489999998</v>
      </c>
      <c r="D1256" s="18"/>
      <c r="E1256" s="18"/>
      <c r="F1256" s="18"/>
      <c r="G1256" s="18"/>
      <c r="H1256" s="18"/>
      <c r="I1256" s="18"/>
      <c r="J1256" s="18"/>
      <c r="K1256" s="18"/>
      <c r="L1256" s="10"/>
      <c r="M1256" s="18"/>
      <c r="N1256" s="10" t="s">
        <v>355</v>
      </c>
      <c r="O1256" s="18">
        <v>23492690.489999998</v>
      </c>
      <c r="P1256" s="18"/>
      <c r="Q1256" s="18"/>
      <c r="R1256" s="18"/>
      <c r="S1256" s="18"/>
    </row>
    <row r="1257" spans="1:19" x14ac:dyDescent="0.25">
      <c r="A1257" s="9" t="s">
        <v>573</v>
      </c>
      <c r="B1257" s="17" t="s">
        <v>905</v>
      </c>
      <c r="C1257" s="18">
        <f t="shared" si="88"/>
        <v>19918578.690000001</v>
      </c>
      <c r="D1257" s="18">
        <v>200337.33</v>
      </c>
      <c r="E1257" s="18"/>
      <c r="F1257" s="18"/>
      <c r="G1257" s="18"/>
      <c r="H1257" s="18"/>
      <c r="I1257" s="18"/>
      <c r="J1257" s="18"/>
      <c r="K1257" s="18"/>
      <c r="L1257" s="10"/>
      <c r="M1257" s="18"/>
      <c r="N1257" s="10"/>
      <c r="O1257" s="18"/>
      <c r="P1257" s="18"/>
      <c r="Q1257" s="18"/>
      <c r="R1257" s="18">
        <v>19718241.359999999</v>
      </c>
      <c r="S1257" s="18"/>
    </row>
    <row r="1258" spans="1:19" x14ac:dyDescent="0.25">
      <c r="A1258" s="9" t="s">
        <v>575</v>
      </c>
      <c r="B1258" s="17" t="s">
        <v>909</v>
      </c>
      <c r="C1258" s="18">
        <f t="shared" si="88"/>
        <v>8203537.9500000002</v>
      </c>
      <c r="D1258" s="18"/>
      <c r="E1258" s="18"/>
      <c r="F1258" s="18"/>
      <c r="G1258" s="18">
        <v>8203537.9500000002</v>
      </c>
      <c r="H1258" s="18"/>
      <c r="I1258" s="18"/>
      <c r="J1258" s="18"/>
      <c r="K1258" s="18"/>
      <c r="L1258" s="10"/>
      <c r="M1258" s="18"/>
      <c r="N1258" s="10"/>
      <c r="O1258" s="18"/>
      <c r="P1258" s="18"/>
      <c r="Q1258" s="18"/>
      <c r="R1258" s="18"/>
      <c r="S1258" s="18"/>
    </row>
    <row r="1259" spans="1:19" x14ac:dyDescent="0.25">
      <c r="A1259" s="9" t="s">
        <v>577</v>
      </c>
      <c r="B1259" s="17" t="s">
        <v>911</v>
      </c>
      <c r="C1259" s="18">
        <f t="shared" si="88"/>
        <v>12017011.060000001</v>
      </c>
      <c r="D1259" s="18"/>
      <c r="E1259" s="18"/>
      <c r="F1259" s="18"/>
      <c r="G1259" s="18">
        <v>12017011.060000001</v>
      </c>
      <c r="H1259" s="18"/>
      <c r="I1259" s="18"/>
      <c r="J1259" s="18"/>
      <c r="K1259" s="18"/>
      <c r="L1259" s="10"/>
      <c r="M1259" s="18"/>
      <c r="N1259" s="10"/>
      <c r="O1259" s="18"/>
      <c r="P1259" s="18"/>
      <c r="Q1259" s="18"/>
      <c r="R1259" s="18"/>
      <c r="S1259" s="18"/>
    </row>
    <row r="1260" spans="1:19" x14ac:dyDescent="0.25">
      <c r="A1260" s="9" t="s">
        <v>579</v>
      </c>
      <c r="B1260" s="17" t="s">
        <v>913</v>
      </c>
      <c r="C1260" s="18">
        <f t="shared" si="88"/>
        <v>5961658.5499999998</v>
      </c>
      <c r="D1260" s="18"/>
      <c r="E1260" s="18"/>
      <c r="F1260" s="18"/>
      <c r="G1260" s="18">
        <v>5961658.5499999998</v>
      </c>
      <c r="H1260" s="18"/>
      <c r="I1260" s="18"/>
      <c r="J1260" s="18"/>
      <c r="K1260" s="18"/>
      <c r="L1260" s="10"/>
      <c r="M1260" s="18"/>
      <c r="N1260" s="10"/>
      <c r="O1260" s="18"/>
      <c r="P1260" s="18"/>
      <c r="Q1260" s="18"/>
      <c r="R1260" s="18"/>
      <c r="S1260" s="18"/>
    </row>
    <row r="1261" spans="1:19" x14ac:dyDescent="0.25">
      <c r="A1261" s="9" t="s">
        <v>581</v>
      </c>
      <c r="B1261" s="17" t="s">
        <v>915</v>
      </c>
      <c r="C1261" s="18">
        <f t="shared" si="88"/>
        <v>4093531.96</v>
      </c>
      <c r="D1261" s="18"/>
      <c r="E1261" s="18"/>
      <c r="F1261" s="18"/>
      <c r="G1261" s="18">
        <v>4093531.96</v>
      </c>
      <c r="H1261" s="18"/>
      <c r="I1261" s="18"/>
      <c r="J1261" s="18"/>
      <c r="K1261" s="18"/>
      <c r="L1261" s="10"/>
      <c r="M1261" s="18"/>
      <c r="N1261" s="10"/>
      <c r="O1261" s="18"/>
      <c r="P1261" s="18"/>
      <c r="Q1261" s="18"/>
      <c r="R1261" s="18"/>
      <c r="S1261" s="18"/>
    </row>
    <row r="1262" spans="1:19" x14ac:dyDescent="0.25">
      <c r="A1262" s="9" t="s">
        <v>583</v>
      </c>
      <c r="B1262" s="17" t="s">
        <v>917</v>
      </c>
      <c r="C1262" s="18">
        <f t="shared" si="88"/>
        <v>22562038.620000001</v>
      </c>
      <c r="D1262" s="18">
        <v>226924.76</v>
      </c>
      <c r="E1262" s="18"/>
      <c r="F1262" s="18"/>
      <c r="G1262" s="18"/>
      <c r="H1262" s="18"/>
      <c r="I1262" s="18"/>
      <c r="J1262" s="18"/>
      <c r="K1262" s="18"/>
      <c r="L1262" s="10"/>
      <c r="M1262" s="18"/>
      <c r="N1262" s="10" t="s">
        <v>552</v>
      </c>
      <c r="O1262" s="18">
        <v>22335113.859999999</v>
      </c>
      <c r="P1262" s="18"/>
      <c r="Q1262" s="18"/>
      <c r="R1262" s="18"/>
      <c r="S1262" s="18"/>
    </row>
    <row r="1263" spans="1:19" x14ac:dyDescent="0.25">
      <c r="A1263" s="9" t="s">
        <v>585</v>
      </c>
      <c r="B1263" s="17" t="s">
        <v>919</v>
      </c>
      <c r="C1263" s="18">
        <f t="shared" si="88"/>
        <v>3946074.85</v>
      </c>
      <c r="D1263" s="18">
        <v>39688.879999999997</v>
      </c>
      <c r="E1263" s="18"/>
      <c r="F1263" s="18">
        <v>3906385.97</v>
      </c>
      <c r="G1263" s="18"/>
      <c r="H1263" s="18"/>
      <c r="I1263" s="18"/>
      <c r="J1263" s="18"/>
      <c r="K1263" s="18"/>
      <c r="L1263" s="10"/>
      <c r="M1263" s="18"/>
      <c r="N1263" s="10"/>
      <c r="O1263" s="18"/>
      <c r="P1263" s="18"/>
      <c r="Q1263" s="18"/>
      <c r="R1263" s="18"/>
      <c r="S1263" s="18"/>
    </row>
    <row r="1264" spans="1:19" x14ac:dyDescent="0.25">
      <c r="A1264" s="9" t="s">
        <v>587</v>
      </c>
      <c r="B1264" s="17" t="s">
        <v>923</v>
      </c>
      <c r="C1264" s="18">
        <f t="shared" si="88"/>
        <v>22875007.68</v>
      </c>
      <c r="D1264" s="18">
        <v>225122.83000000002</v>
      </c>
      <c r="E1264" s="18"/>
      <c r="F1264" s="18"/>
      <c r="G1264" s="18">
        <v>7819960.8300000001</v>
      </c>
      <c r="H1264" s="18"/>
      <c r="I1264" s="18"/>
      <c r="J1264" s="18"/>
      <c r="K1264" s="18"/>
      <c r="L1264" s="10"/>
      <c r="M1264" s="18"/>
      <c r="N1264" s="10" t="s">
        <v>552</v>
      </c>
      <c r="O1264" s="18">
        <v>14829924.02</v>
      </c>
      <c r="P1264" s="18"/>
      <c r="Q1264" s="18"/>
      <c r="R1264" s="18"/>
      <c r="S1264" s="18"/>
    </row>
    <row r="1265" spans="1:19" x14ac:dyDescent="0.25">
      <c r="A1265" s="9" t="s">
        <v>589</v>
      </c>
      <c r="B1265" s="17" t="s">
        <v>927</v>
      </c>
      <c r="C1265" s="18">
        <f t="shared" si="88"/>
        <v>3345752.66</v>
      </c>
      <c r="D1265" s="18">
        <v>33650.949999999997</v>
      </c>
      <c r="E1265" s="18"/>
      <c r="F1265" s="18">
        <v>3312101.71</v>
      </c>
      <c r="G1265" s="18"/>
      <c r="H1265" s="18"/>
      <c r="I1265" s="18"/>
      <c r="J1265" s="18"/>
      <c r="K1265" s="18"/>
      <c r="L1265" s="10"/>
      <c r="M1265" s="18"/>
      <c r="N1265" s="10"/>
      <c r="O1265" s="18"/>
      <c r="P1265" s="18"/>
      <c r="Q1265" s="18"/>
      <c r="R1265" s="18"/>
      <c r="S1265" s="18"/>
    </row>
    <row r="1266" spans="1:19" x14ac:dyDescent="0.25">
      <c r="A1266" s="9" t="s">
        <v>591</v>
      </c>
      <c r="B1266" s="17" t="s">
        <v>941</v>
      </c>
      <c r="C1266" s="18">
        <f t="shared" si="88"/>
        <v>12126956.77</v>
      </c>
      <c r="D1266" s="18"/>
      <c r="E1266" s="18"/>
      <c r="F1266" s="18">
        <v>2034283.45</v>
      </c>
      <c r="G1266" s="18">
        <v>6010060.6100000003</v>
      </c>
      <c r="H1266" s="18">
        <v>1256934.6200000001</v>
      </c>
      <c r="I1266" s="18">
        <v>820155.89</v>
      </c>
      <c r="J1266" s="18">
        <v>2005522.2</v>
      </c>
      <c r="K1266" s="18"/>
      <c r="L1266" s="10"/>
      <c r="M1266" s="18"/>
      <c r="N1266" s="10"/>
      <c r="O1266" s="18"/>
      <c r="P1266" s="18"/>
      <c r="Q1266" s="18"/>
      <c r="R1266" s="18"/>
      <c r="S1266" s="18"/>
    </row>
    <row r="1267" spans="1:19" x14ac:dyDescent="0.25">
      <c r="A1267" s="9" t="s">
        <v>593</v>
      </c>
      <c r="B1267" s="17" t="s">
        <v>933</v>
      </c>
      <c r="C1267" s="18">
        <f t="shared" si="88"/>
        <v>2755489.67</v>
      </c>
      <c r="D1267" s="18">
        <v>27714.2</v>
      </c>
      <c r="E1267" s="18"/>
      <c r="F1267" s="18"/>
      <c r="G1267" s="18"/>
      <c r="H1267" s="18">
        <v>2727775.47</v>
      </c>
      <c r="I1267" s="18"/>
      <c r="J1267" s="18"/>
      <c r="K1267" s="18"/>
      <c r="L1267" s="10"/>
      <c r="M1267" s="18"/>
      <c r="N1267" s="10"/>
      <c r="O1267" s="18"/>
      <c r="P1267" s="18"/>
      <c r="Q1267" s="18"/>
      <c r="R1267" s="18"/>
      <c r="S1267" s="18"/>
    </row>
    <row r="1268" spans="1:19" x14ac:dyDescent="0.25">
      <c r="A1268" s="9" t="s">
        <v>595</v>
      </c>
      <c r="B1268" s="17" t="s">
        <v>935</v>
      </c>
      <c r="C1268" s="18">
        <f t="shared" si="88"/>
        <v>2907422.7200000002</v>
      </c>
      <c r="D1268" s="18">
        <v>29242.31</v>
      </c>
      <c r="E1268" s="18"/>
      <c r="F1268" s="18"/>
      <c r="G1268" s="18"/>
      <c r="H1268" s="18">
        <v>2878180.41</v>
      </c>
      <c r="I1268" s="18"/>
      <c r="J1268" s="18"/>
      <c r="K1268" s="18"/>
      <c r="L1268" s="10"/>
      <c r="M1268" s="18"/>
      <c r="N1268" s="10"/>
      <c r="O1268" s="18"/>
      <c r="P1268" s="18"/>
      <c r="Q1268" s="18"/>
      <c r="R1268" s="18"/>
      <c r="S1268" s="18"/>
    </row>
    <row r="1269" spans="1:19" x14ac:dyDescent="0.25">
      <c r="A1269" s="9" t="s">
        <v>597</v>
      </c>
      <c r="B1269" s="17" t="s">
        <v>937</v>
      </c>
      <c r="C1269" s="18">
        <f t="shared" si="88"/>
        <v>26366132.940000001</v>
      </c>
      <c r="D1269" s="18">
        <v>265185.62</v>
      </c>
      <c r="E1269" s="18"/>
      <c r="F1269" s="18">
        <v>4230650.59</v>
      </c>
      <c r="G1269" s="18"/>
      <c r="H1269" s="18"/>
      <c r="I1269" s="18"/>
      <c r="J1269" s="18"/>
      <c r="K1269" s="18"/>
      <c r="L1269" s="10"/>
      <c r="M1269" s="18"/>
      <c r="N1269" s="10" t="s">
        <v>552</v>
      </c>
      <c r="O1269" s="18">
        <v>21870296.73</v>
      </c>
      <c r="P1269" s="18"/>
      <c r="Q1269" s="18"/>
      <c r="R1269" s="18"/>
      <c r="S1269" s="18"/>
    </row>
    <row r="1270" spans="1:19" x14ac:dyDescent="0.25">
      <c r="A1270" s="9" t="s">
        <v>599</v>
      </c>
      <c r="B1270" s="17" t="s">
        <v>943</v>
      </c>
      <c r="C1270" s="18">
        <f t="shared" si="88"/>
        <v>3972386.33</v>
      </c>
      <c r="D1270" s="18"/>
      <c r="E1270" s="18"/>
      <c r="F1270" s="18">
        <v>3972386.33</v>
      </c>
      <c r="G1270" s="18"/>
      <c r="H1270" s="18"/>
      <c r="I1270" s="18"/>
      <c r="J1270" s="18"/>
      <c r="K1270" s="18"/>
      <c r="L1270" s="10"/>
      <c r="M1270" s="18"/>
      <c r="N1270" s="10"/>
      <c r="O1270" s="18"/>
      <c r="P1270" s="18"/>
      <c r="Q1270" s="18"/>
      <c r="R1270" s="18"/>
      <c r="S1270" s="18"/>
    </row>
    <row r="1271" spans="1:19" x14ac:dyDescent="0.25">
      <c r="A1271" s="9"/>
      <c r="B1271" s="50" t="s">
        <v>2087</v>
      </c>
      <c r="C1271" s="18">
        <f>ROUND(D1271+E1271+F1271+G1271+H1271+I1271+J1271+K1271+M1271+O1271+P1271+Q1271+R1271+S1271,2)</f>
        <v>174544270.94</v>
      </c>
      <c r="D1271" s="18">
        <f t="shared" ref="D1271:S1271" si="89">SUM(D1256:D1270)</f>
        <v>1047866.88</v>
      </c>
      <c r="E1271" s="18">
        <f t="shared" si="89"/>
        <v>0</v>
      </c>
      <c r="F1271" s="18">
        <f t="shared" si="89"/>
        <v>17455808.049999997</v>
      </c>
      <c r="G1271" s="18">
        <f t="shared" si="89"/>
        <v>44105760.960000001</v>
      </c>
      <c r="H1271" s="18">
        <f t="shared" si="89"/>
        <v>6862890.5</v>
      </c>
      <c r="I1271" s="18">
        <f t="shared" si="89"/>
        <v>820155.89</v>
      </c>
      <c r="J1271" s="18">
        <f t="shared" si="89"/>
        <v>2005522.2</v>
      </c>
      <c r="K1271" s="18">
        <f t="shared" si="89"/>
        <v>0</v>
      </c>
      <c r="L1271" s="10">
        <f t="shared" si="89"/>
        <v>0</v>
      </c>
      <c r="M1271" s="18">
        <f t="shared" si="89"/>
        <v>0</v>
      </c>
      <c r="N1271" s="18" t="s">
        <v>42</v>
      </c>
      <c r="O1271" s="18">
        <f t="shared" si="89"/>
        <v>82528025.099999994</v>
      </c>
      <c r="P1271" s="18">
        <f t="shared" si="89"/>
        <v>0</v>
      </c>
      <c r="Q1271" s="18">
        <f t="shared" si="89"/>
        <v>0</v>
      </c>
      <c r="R1271" s="18">
        <f t="shared" si="89"/>
        <v>19718241.359999999</v>
      </c>
      <c r="S1271" s="18">
        <f t="shared" si="89"/>
        <v>0</v>
      </c>
    </row>
    <row r="1272" spans="1:19" x14ac:dyDescent="0.25">
      <c r="A1272" s="9"/>
      <c r="B1272" s="34" t="s">
        <v>945</v>
      </c>
      <c r="C1272" s="19"/>
      <c r="D1272" s="46"/>
      <c r="E1272" s="47"/>
      <c r="F1272" s="13"/>
      <c r="G1272" s="13"/>
      <c r="H1272" s="13"/>
      <c r="I1272" s="13"/>
      <c r="J1272" s="13"/>
      <c r="K1272" s="13"/>
      <c r="L1272" s="14"/>
      <c r="M1272" s="13"/>
      <c r="N1272" s="14"/>
      <c r="O1272" s="13"/>
      <c r="P1272" s="13"/>
      <c r="Q1272" s="13"/>
      <c r="R1272" s="13"/>
      <c r="S1272" s="13"/>
    </row>
    <row r="1273" spans="1:19" x14ac:dyDescent="0.25">
      <c r="A1273" s="9" t="s">
        <v>601</v>
      </c>
      <c r="B1273" s="21" t="s">
        <v>947</v>
      </c>
      <c r="C1273" s="18">
        <f t="shared" ref="C1273:C1280" si="90">ROUNDUP(SUM(D1273+E1273+F1273+G1273+H1273+I1273+J1273+K1273+M1273+O1273+P1273+Q1273+R1273+S1273),2)</f>
        <v>20988762.800000001</v>
      </c>
      <c r="D1273" s="18">
        <v>91321.82</v>
      </c>
      <c r="E1273" s="18"/>
      <c r="F1273" s="18">
        <v>4393748.58</v>
      </c>
      <c r="G1273" s="18"/>
      <c r="H1273" s="18"/>
      <c r="I1273" s="18"/>
      <c r="J1273" s="18"/>
      <c r="K1273" s="18"/>
      <c r="L1273" s="10"/>
      <c r="M1273" s="18"/>
      <c r="N1273" s="10"/>
      <c r="O1273" s="18"/>
      <c r="P1273" s="18"/>
      <c r="Q1273" s="18">
        <v>16503692.4</v>
      </c>
      <c r="R1273" s="18"/>
      <c r="S1273" s="18"/>
    </row>
    <row r="1274" spans="1:19" x14ac:dyDescent="0.25">
      <c r="A1274" s="9">
        <f t="shared" ref="A1274:A1281" si="91">1+A1273</f>
        <v>281</v>
      </c>
      <c r="B1274" s="21" t="s">
        <v>949</v>
      </c>
      <c r="C1274" s="18">
        <f t="shared" si="90"/>
        <v>13232210.949999999</v>
      </c>
      <c r="D1274" s="18">
        <v>57573.17</v>
      </c>
      <c r="E1274" s="18"/>
      <c r="F1274" s="18"/>
      <c r="G1274" s="18"/>
      <c r="H1274" s="18"/>
      <c r="I1274" s="18"/>
      <c r="J1274" s="18"/>
      <c r="K1274" s="18"/>
      <c r="L1274" s="10"/>
      <c r="M1274" s="18"/>
      <c r="N1274" s="10"/>
      <c r="O1274" s="18"/>
      <c r="P1274" s="18"/>
      <c r="Q1274" s="18">
        <v>13174637.779999999</v>
      </c>
      <c r="R1274" s="18"/>
      <c r="S1274" s="18"/>
    </row>
    <row r="1275" spans="1:19" x14ac:dyDescent="0.25">
      <c r="A1275" s="9">
        <f t="shared" si="91"/>
        <v>282</v>
      </c>
      <c r="B1275" s="1" t="s">
        <v>955</v>
      </c>
      <c r="C1275" s="18">
        <f t="shared" si="90"/>
        <v>3833596.33</v>
      </c>
      <c r="D1275" s="18">
        <v>16769.53</v>
      </c>
      <c r="E1275" s="18"/>
      <c r="F1275" s="18"/>
      <c r="G1275" s="18"/>
      <c r="H1275" s="18"/>
      <c r="I1275" s="18"/>
      <c r="J1275" s="18"/>
      <c r="K1275" s="18"/>
      <c r="L1275" s="10"/>
      <c r="M1275" s="18"/>
      <c r="N1275" s="10"/>
      <c r="O1275" s="18"/>
      <c r="P1275" s="18"/>
      <c r="Q1275" s="18">
        <v>3816826.8</v>
      </c>
      <c r="R1275" s="18"/>
      <c r="S1275" s="18"/>
    </row>
    <row r="1276" spans="1:19" x14ac:dyDescent="0.25">
      <c r="A1276" s="9">
        <f t="shared" si="91"/>
        <v>283</v>
      </c>
      <c r="B1276" s="17" t="s">
        <v>963</v>
      </c>
      <c r="C1276" s="18">
        <f t="shared" si="90"/>
        <v>13348433.130000001</v>
      </c>
      <c r="D1276" s="18">
        <v>58078.85</v>
      </c>
      <c r="E1276" s="18"/>
      <c r="F1276" s="18"/>
      <c r="G1276" s="18">
        <v>4141413.88</v>
      </c>
      <c r="H1276" s="18"/>
      <c r="I1276" s="18"/>
      <c r="J1276" s="18"/>
      <c r="K1276" s="18"/>
      <c r="L1276" s="10"/>
      <c r="M1276" s="18"/>
      <c r="N1276" s="10"/>
      <c r="O1276" s="18"/>
      <c r="P1276" s="18"/>
      <c r="Q1276" s="18">
        <v>9148940.4000000004</v>
      </c>
      <c r="R1276" s="18"/>
      <c r="S1276" s="18"/>
    </row>
    <row r="1277" spans="1:19" x14ac:dyDescent="0.25">
      <c r="A1277" s="9">
        <f t="shared" si="91"/>
        <v>284</v>
      </c>
      <c r="B1277" s="17" t="s">
        <v>965</v>
      </c>
      <c r="C1277" s="18">
        <f t="shared" si="90"/>
        <v>23908085.48</v>
      </c>
      <c r="D1277" s="18">
        <v>104023.75</v>
      </c>
      <c r="E1277" s="18"/>
      <c r="F1277" s="18">
        <v>3094197.69</v>
      </c>
      <c r="G1277" s="18">
        <v>3931641.1</v>
      </c>
      <c r="H1277" s="18">
        <v>2305127.94</v>
      </c>
      <c r="I1277" s="18">
        <v>962129.82</v>
      </c>
      <c r="J1277" s="18">
        <v>1411418.98</v>
      </c>
      <c r="K1277" s="18"/>
      <c r="L1277" s="10"/>
      <c r="M1277" s="18"/>
      <c r="N1277" s="10" t="s">
        <v>552</v>
      </c>
      <c r="O1277" s="18">
        <v>7495880.4000000004</v>
      </c>
      <c r="P1277" s="18">
        <v>4603665.8</v>
      </c>
      <c r="Q1277" s="18"/>
      <c r="R1277" s="18"/>
      <c r="S1277" s="18"/>
    </row>
    <row r="1278" spans="1:19" x14ac:dyDescent="0.25">
      <c r="A1278" s="9">
        <f t="shared" si="91"/>
        <v>285</v>
      </c>
      <c r="B1278" s="17" t="s">
        <v>969</v>
      </c>
      <c r="C1278" s="18">
        <f t="shared" si="90"/>
        <v>7495868.0199999996</v>
      </c>
      <c r="D1278" s="18">
        <v>32614.42</v>
      </c>
      <c r="E1278" s="18"/>
      <c r="F1278" s="18"/>
      <c r="G1278" s="18"/>
      <c r="H1278" s="18"/>
      <c r="I1278" s="18"/>
      <c r="J1278" s="18"/>
      <c r="K1278" s="18"/>
      <c r="L1278" s="10"/>
      <c r="M1278" s="18"/>
      <c r="N1278" s="10" t="s">
        <v>552</v>
      </c>
      <c r="O1278" s="18">
        <v>7463253.5999999996</v>
      </c>
      <c r="P1278" s="18"/>
      <c r="Q1278" s="18"/>
      <c r="R1278" s="18"/>
      <c r="S1278" s="18"/>
    </row>
    <row r="1279" spans="1:19" x14ac:dyDescent="0.25">
      <c r="A1279" s="9">
        <f t="shared" si="91"/>
        <v>286</v>
      </c>
      <c r="B1279" s="17" t="s">
        <v>973</v>
      </c>
      <c r="C1279" s="18">
        <f t="shared" si="90"/>
        <v>13094143.949999999</v>
      </c>
      <c r="D1279" s="18">
        <v>56972.44</v>
      </c>
      <c r="E1279" s="18"/>
      <c r="F1279" s="18"/>
      <c r="G1279" s="18"/>
      <c r="H1279" s="18"/>
      <c r="I1279" s="18"/>
      <c r="J1279" s="18"/>
      <c r="K1279" s="18"/>
      <c r="L1279" s="10"/>
      <c r="M1279" s="18"/>
      <c r="N1279" s="10"/>
      <c r="O1279" s="18"/>
      <c r="P1279" s="18"/>
      <c r="Q1279" s="18">
        <v>13037171.51</v>
      </c>
      <c r="R1279" s="18"/>
      <c r="S1279" s="18"/>
    </row>
    <row r="1280" spans="1:19" x14ac:dyDescent="0.25">
      <c r="A1280" s="9">
        <f t="shared" si="91"/>
        <v>287</v>
      </c>
      <c r="B1280" s="17" t="s">
        <v>977</v>
      </c>
      <c r="C1280" s="18">
        <f t="shared" si="90"/>
        <v>16483851.07</v>
      </c>
      <c r="D1280" s="18">
        <v>71721.009999999995</v>
      </c>
      <c r="E1280" s="18"/>
      <c r="F1280" s="18"/>
      <c r="G1280" s="18">
        <v>4654777.03</v>
      </c>
      <c r="H1280" s="18"/>
      <c r="I1280" s="18"/>
      <c r="J1280" s="18">
        <v>1006423.21</v>
      </c>
      <c r="K1280" s="18"/>
      <c r="L1280" s="10"/>
      <c r="M1280" s="18"/>
      <c r="N1280" s="10"/>
      <c r="O1280" s="18"/>
      <c r="P1280" s="18"/>
      <c r="Q1280" s="18">
        <v>10750929.82</v>
      </c>
      <c r="R1280" s="18"/>
      <c r="S1280" s="18"/>
    </row>
    <row r="1281" spans="1:19" x14ac:dyDescent="0.25">
      <c r="A1281" s="9">
        <f t="shared" si="91"/>
        <v>288</v>
      </c>
      <c r="B1281" s="17" t="s">
        <v>2093</v>
      </c>
      <c r="C1281" s="18">
        <f>ROUNDUP(SUM(D1281+E1281+F1281+G1281+H1281+I1281+J1281+K1281+M1281+O1281+P1281+Q1281+R1281+S1281),2)</f>
        <v>4970771.8499999996</v>
      </c>
      <c r="D1281" s="18"/>
      <c r="E1281" s="18"/>
      <c r="F1281" s="18"/>
      <c r="G1281" s="18"/>
      <c r="H1281" s="18"/>
      <c r="I1281" s="18"/>
      <c r="J1281" s="18"/>
      <c r="K1281" s="18"/>
      <c r="L1281" s="10"/>
      <c r="M1281" s="18"/>
      <c r="N1281" s="10" t="s">
        <v>552</v>
      </c>
      <c r="O1281" s="18">
        <v>4970771.8499999996</v>
      </c>
      <c r="P1281" s="18"/>
      <c r="Q1281" s="18"/>
      <c r="R1281" s="18"/>
      <c r="S1281" s="18"/>
    </row>
    <row r="1282" spans="1:19" x14ac:dyDescent="0.25">
      <c r="A1282" s="9"/>
      <c r="B1282" s="50" t="s">
        <v>2088</v>
      </c>
      <c r="C1282" s="18">
        <f>ROUND(D1282+E1282+F1282+G1282+H1282+I1282+J1282+K1282+M1282+O1282+P1282+Q1282+R1282+S1282,2)</f>
        <v>117355723.58</v>
      </c>
      <c r="D1282" s="18">
        <f>SUM(D1273:D1280)</f>
        <v>489074.99</v>
      </c>
      <c r="E1282" s="18">
        <f t="shared" ref="E1282:S1282" si="92">SUM(E1273:E1280)</f>
        <v>0</v>
      </c>
      <c r="F1282" s="18">
        <f>SUM(F1273:F1280)</f>
        <v>7487946.2699999996</v>
      </c>
      <c r="G1282" s="18">
        <f>SUM(G1273:G1280)</f>
        <v>12727832.010000002</v>
      </c>
      <c r="H1282" s="18">
        <f>SUM(H1273:H1280)</f>
        <v>2305127.94</v>
      </c>
      <c r="I1282" s="18">
        <f>SUM(I1273:I1280)</f>
        <v>962129.82</v>
      </c>
      <c r="J1282" s="18">
        <f>SUM(J1273:J1280)</f>
        <v>2417842.19</v>
      </c>
      <c r="K1282" s="18">
        <f t="shared" si="92"/>
        <v>0</v>
      </c>
      <c r="L1282" s="10">
        <f t="shared" si="92"/>
        <v>0</v>
      </c>
      <c r="M1282" s="18">
        <f t="shared" si="92"/>
        <v>0</v>
      </c>
      <c r="N1282" s="18" t="s">
        <v>42</v>
      </c>
      <c r="O1282" s="18">
        <f>SUM(O1273:O1281)</f>
        <v>19929905.850000001</v>
      </c>
      <c r="P1282" s="18">
        <f>SUM(P1273:P1280)</f>
        <v>4603665.8</v>
      </c>
      <c r="Q1282" s="18">
        <f>SUM(Q1273:Q1280)</f>
        <v>66432198.710000001</v>
      </c>
      <c r="R1282" s="18">
        <f t="shared" si="92"/>
        <v>0</v>
      </c>
      <c r="S1282" s="18">
        <f t="shared" si="92"/>
        <v>0</v>
      </c>
    </row>
    <row r="1283" spans="1:19" x14ac:dyDescent="0.25">
      <c r="A1283" s="9"/>
      <c r="B1283" s="34" t="s">
        <v>995</v>
      </c>
      <c r="C1283" s="19"/>
      <c r="D1283" s="46"/>
      <c r="E1283" s="47"/>
      <c r="F1283" s="13"/>
      <c r="G1283" s="13"/>
      <c r="H1283" s="13"/>
      <c r="I1283" s="13"/>
      <c r="J1283" s="13"/>
      <c r="K1283" s="13"/>
      <c r="L1283" s="14"/>
      <c r="M1283" s="13"/>
      <c r="N1283" s="14"/>
      <c r="O1283" s="13"/>
      <c r="P1283" s="13"/>
      <c r="Q1283" s="13"/>
      <c r="R1283" s="13"/>
      <c r="S1283" s="13"/>
    </row>
    <row r="1284" spans="1:19" x14ac:dyDescent="0.25">
      <c r="A1284" s="9" t="s">
        <v>619</v>
      </c>
      <c r="B1284" s="17" t="s">
        <v>997</v>
      </c>
      <c r="C1284" s="18">
        <f t="shared" ref="C1284:C1298" si="93">ROUNDUP(SUM(D1284+E1284+F1284+G1284+H1284+I1284+J1284+K1284+M1284+O1284+P1284+Q1284+R1284+S1284),2)</f>
        <v>14382913.449999999</v>
      </c>
      <c r="D1284" s="18"/>
      <c r="E1284" s="18"/>
      <c r="F1284" s="18">
        <v>1631659.76</v>
      </c>
      <c r="G1284" s="18">
        <v>2815353.6</v>
      </c>
      <c r="H1284" s="18">
        <v>949613.96</v>
      </c>
      <c r="I1284" s="18">
        <v>353777.51</v>
      </c>
      <c r="J1284" s="18">
        <v>595539.47</v>
      </c>
      <c r="K1284" s="18"/>
      <c r="L1284" s="10"/>
      <c r="M1284" s="18"/>
      <c r="N1284" s="10" t="s">
        <v>552</v>
      </c>
      <c r="O1284" s="18">
        <v>8036969.1500000004</v>
      </c>
      <c r="P1284" s="18"/>
      <c r="Q1284" s="18"/>
      <c r="R1284" s="18"/>
      <c r="S1284" s="18"/>
    </row>
    <row r="1285" spans="1:19" x14ac:dyDescent="0.25">
      <c r="A1285" s="9">
        <f t="shared" ref="A1285:A1298" si="94">1+A1284</f>
        <v>290</v>
      </c>
      <c r="B1285" s="17" t="s">
        <v>999</v>
      </c>
      <c r="C1285" s="18">
        <f t="shared" si="93"/>
        <v>13210290.369999999</v>
      </c>
      <c r="D1285" s="18">
        <v>142568.84</v>
      </c>
      <c r="E1285" s="18"/>
      <c r="F1285" s="18"/>
      <c r="G1285" s="18"/>
      <c r="H1285" s="18"/>
      <c r="I1285" s="18"/>
      <c r="J1285" s="18"/>
      <c r="K1285" s="18"/>
      <c r="L1285" s="10"/>
      <c r="M1285" s="18"/>
      <c r="N1285" s="10" t="s">
        <v>883</v>
      </c>
      <c r="O1285" s="18">
        <v>13067721.529999999</v>
      </c>
      <c r="P1285" s="18"/>
      <c r="Q1285" s="18"/>
      <c r="R1285" s="18"/>
      <c r="S1285" s="18"/>
    </row>
    <row r="1286" spans="1:19" x14ac:dyDescent="0.25">
      <c r="A1286" s="9">
        <f t="shared" si="94"/>
        <v>291</v>
      </c>
      <c r="B1286" s="17" t="s">
        <v>1001</v>
      </c>
      <c r="C1286" s="18">
        <f t="shared" si="93"/>
        <v>21078118.079999998</v>
      </c>
      <c r="D1286" s="18">
        <v>227480.46</v>
      </c>
      <c r="E1286" s="18"/>
      <c r="F1286" s="18"/>
      <c r="G1286" s="18"/>
      <c r="H1286" s="18"/>
      <c r="I1286" s="18"/>
      <c r="J1286" s="18"/>
      <c r="K1286" s="18"/>
      <c r="L1286" s="10"/>
      <c r="M1286" s="18"/>
      <c r="N1286" s="10" t="s">
        <v>552</v>
      </c>
      <c r="O1286" s="18">
        <v>20850637.620000001</v>
      </c>
      <c r="P1286" s="18"/>
      <c r="Q1286" s="18"/>
      <c r="R1286" s="18"/>
      <c r="S1286" s="18"/>
    </row>
    <row r="1287" spans="1:19" x14ac:dyDescent="0.25">
      <c r="A1287" s="9">
        <f t="shared" si="94"/>
        <v>292</v>
      </c>
      <c r="B1287" s="17" t="s">
        <v>1005</v>
      </c>
      <c r="C1287" s="18">
        <f t="shared" si="93"/>
        <v>33976128.850000001</v>
      </c>
      <c r="D1287" s="18">
        <v>324423.27999999997</v>
      </c>
      <c r="E1287" s="18"/>
      <c r="F1287" s="18">
        <v>3915383.5</v>
      </c>
      <c r="G1287" s="18">
        <v>4328224.33</v>
      </c>
      <c r="H1287" s="18">
        <v>1868784.13</v>
      </c>
      <c r="I1287" s="18">
        <v>614804.5</v>
      </c>
      <c r="J1287" s="18">
        <v>1073794.6100000001</v>
      </c>
      <c r="K1287" s="18"/>
      <c r="L1287" s="10"/>
      <c r="M1287" s="18"/>
      <c r="N1287" s="10" t="s">
        <v>552</v>
      </c>
      <c r="O1287" s="18">
        <v>11808320.35</v>
      </c>
      <c r="P1287" s="18"/>
      <c r="Q1287" s="18">
        <v>10042394.15</v>
      </c>
      <c r="R1287" s="18"/>
      <c r="S1287" s="18"/>
    </row>
    <row r="1288" spans="1:19" x14ac:dyDescent="0.25">
      <c r="A1288" s="9">
        <f t="shared" si="94"/>
        <v>293</v>
      </c>
      <c r="B1288" s="17" t="s">
        <v>1007</v>
      </c>
      <c r="C1288" s="18">
        <f t="shared" si="93"/>
        <v>24185394.989999998</v>
      </c>
      <c r="D1288" s="18"/>
      <c r="E1288" s="18"/>
      <c r="F1288" s="18">
        <v>4044223.32</v>
      </c>
      <c r="G1288" s="18">
        <v>4562925.92</v>
      </c>
      <c r="H1288" s="18">
        <v>1838399.51</v>
      </c>
      <c r="I1288" s="18">
        <v>653588.05000000005</v>
      </c>
      <c r="J1288" s="18">
        <v>1164184.02</v>
      </c>
      <c r="K1288" s="18"/>
      <c r="L1288" s="10"/>
      <c r="M1288" s="18"/>
      <c r="N1288" s="10"/>
      <c r="O1288" s="18"/>
      <c r="P1288" s="18"/>
      <c r="Q1288" s="18">
        <v>11922074.17</v>
      </c>
      <c r="R1288" s="18"/>
      <c r="S1288" s="18"/>
    </row>
    <row r="1289" spans="1:19" x14ac:dyDescent="0.25">
      <c r="A1289" s="9">
        <f t="shared" si="94"/>
        <v>294</v>
      </c>
      <c r="B1289" s="17" t="s">
        <v>1009</v>
      </c>
      <c r="C1289" s="18">
        <f t="shared" si="93"/>
        <v>49234896.859999999</v>
      </c>
      <c r="D1289" s="18">
        <v>531355.63</v>
      </c>
      <c r="E1289" s="18"/>
      <c r="F1289" s="18">
        <v>9216403.0700000003</v>
      </c>
      <c r="G1289" s="18">
        <v>12442474.24</v>
      </c>
      <c r="H1289" s="18">
        <v>3563489.36</v>
      </c>
      <c r="I1289" s="18">
        <v>2042508.9</v>
      </c>
      <c r="J1289" s="18">
        <v>1425091.72</v>
      </c>
      <c r="K1289" s="18"/>
      <c r="L1289" s="10"/>
      <c r="M1289" s="18"/>
      <c r="N1289" s="10"/>
      <c r="O1289" s="18"/>
      <c r="P1289" s="18"/>
      <c r="Q1289" s="18">
        <v>20013573.940000001</v>
      </c>
      <c r="R1289" s="18"/>
      <c r="S1289" s="18"/>
    </row>
    <row r="1290" spans="1:19" ht="16.5" customHeight="1" x14ac:dyDescent="0.25">
      <c r="A1290" s="9">
        <f t="shared" si="94"/>
        <v>295</v>
      </c>
      <c r="B1290" s="17" t="s">
        <v>1011</v>
      </c>
      <c r="C1290" s="18">
        <f t="shared" si="93"/>
        <v>39716361.119999997</v>
      </c>
      <c r="D1290" s="18">
        <v>208924</v>
      </c>
      <c r="E1290" s="18"/>
      <c r="F1290" s="18"/>
      <c r="G1290" s="18">
        <v>10717506.85</v>
      </c>
      <c r="H1290" s="18">
        <v>4415567.53</v>
      </c>
      <c r="I1290" s="18">
        <v>2112180.73</v>
      </c>
      <c r="J1290" s="18">
        <v>1904516.4</v>
      </c>
      <c r="K1290" s="18"/>
      <c r="L1290" s="10"/>
      <c r="M1290" s="18"/>
      <c r="N1290" s="10"/>
      <c r="O1290" s="18"/>
      <c r="P1290" s="18"/>
      <c r="Q1290" s="18">
        <v>20357665.609999999</v>
      </c>
      <c r="R1290" s="18"/>
      <c r="S1290" s="18"/>
    </row>
    <row r="1291" spans="1:19" x14ac:dyDescent="0.25">
      <c r="A1291" s="9">
        <f t="shared" si="94"/>
        <v>296</v>
      </c>
      <c r="B1291" s="17" t="s">
        <v>1013</v>
      </c>
      <c r="C1291" s="18">
        <f t="shared" si="93"/>
        <v>19948679.050000001</v>
      </c>
      <c r="D1291" s="18">
        <v>79717.38</v>
      </c>
      <c r="E1291" s="18"/>
      <c r="F1291" s="18">
        <v>3007381.6</v>
      </c>
      <c r="G1291" s="18">
        <v>3653030.85</v>
      </c>
      <c r="H1291" s="18">
        <v>2018247.88</v>
      </c>
      <c r="I1291" s="18">
        <v>791957.56</v>
      </c>
      <c r="J1291" s="18">
        <v>843582.02</v>
      </c>
      <c r="K1291" s="18"/>
      <c r="L1291" s="10"/>
      <c r="M1291" s="18"/>
      <c r="N1291" s="10"/>
      <c r="O1291" s="18"/>
      <c r="P1291" s="18"/>
      <c r="Q1291" s="18">
        <v>9554761.7599999998</v>
      </c>
      <c r="R1291" s="18"/>
      <c r="S1291" s="18"/>
    </row>
    <row r="1292" spans="1:19" x14ac:dyDescent="0.25">
      <c r="A1292" s="9">
        <f t="shared" si="94"/>
        <v>297</v>
      </c>
      <c r="B1292" s="17" t="s">
        <v>1015</v>
      </c>
      <c r="C1292" s="18">
        <f t="shared" si="93"/>
        <v>18078285.16</v>
      </c>
      <c r="D1292" s="18"/>
      <c r="E1292" s="18"/>
      <c r="F1292" s="18">
        <v>2524422.64</v>
      </c>
      <c r="G1292" s="18">
        <v>4231837.62</v>
      </c>
      <c r="H1292" s="18">
        <v>1545397.26</v>
      </c>
      <c r="I1292" s="18">
        <v>639867.96</v>
      </c>
      <c r="J1292" s="18">
        <v>811934.5</v>
      </c>
      <c r="K1292" s="18"/>
      <c r="L1292" s="10"/>
      <c r="M1292" s="18"/>
      <c r="N1292" s="10"/>
      <c r="O1292" s="18"/>
      <c r="P1292" s="18"/>
      <c r="Q1292" s="18">
        <v>8324825.1799999997</v>
      </c>
      <c r="R1292" s="18"/>
      <c r="S1292" s="18"/>
    </row>
    <row r="1293" spans="1:19" ht="15" customHeight="1" x14ac:dyDescent="0.25">
      <c r="A1293" s="9">
        <f t="shared" si="94"/>
        <v>298</v>
      </c>
      <c r="B1293" s="17" t="s">
        <v>1019</v>
      </c>
      <c r="C1293" s="18">
        <f t="shared" si="93"/>
        <v>25060948.690000001</v>
      </c>
      <c r="D1293" s="18"/>
      <c r="E1293" s="18"/>
      <c r="F1293" s="18">
        <v>4169179.74</v>
      </c>
      <c r="G1293" s="18">
        <v>4964604.84</v>
      </c>
      <c r="H1293" s="18">
        <v>1486463.12</v>
      </c>
      <c r="I1293" s="18">
        <v>699773.15</v>
      </c>
      <c r="J1293" s="18">
        <v>1655362.87</v>
      </c>
      <c r="K1293" s="18"/>
      <c r="L1293" s="10"/>
      <c r="M1293" s="18"/>
      <c r="N1293" s="10"/>
      <c r="O1293" s="18"/>
      <c r="P1293" s="18"/>
      <c r="Q1293" s="18">
        <v>12085564.970000001</v>
      </c>
      <c r="R1293" s="18"/>
      <c r="S1293" s="18"/>
    </row>
    <row r="1294" spans="1:19" ht="15" customHeight="1" x14ac:dyDescent="0.25">
      <c r="A1294" s="9">
        <f t="shared" si="94"/>
        <v>299</v>
      </c>
      <c r="B1294" s="17" t="s">
        <v>1027</v>
      </c>
      <c r="C1294" s="18">
        <f t="shared" si="93"/>
        <v>12882548.970000001</v>
      </c>
      <c r="D1294" s="18"/>
      <c r="E1294" s="18"/>
      <c r="F1294" s="18"/>
      <c r="G1294" s="18">
        <v>2082440.44</v>
      </c>
      <c r="H1294" s="18"/>
      <c r="I1294" s="18"/>
      <c r="J1294" s="18">
        <v>606386.71</v>
      </c>
      <c r="K1294" s="18"/>
      <c r="L1294" s="10"/>
      <c r="M1294" s="18"/>
      <c r="N1294" s="10" t="s">
        <v>883</v>
      </c>
      <c r="O1294" s="18">
        <v>10193721.82</v>
      </c>
      <c r="P1294" s="18"/>
      <c r="Q1294" s="18"/>
      <c r="R1294" s="18"/>
      <c r="S1294" s="18"/>
    </row>
    <row r="1295" spans="1:19" x14ac:dyDescent="0.25">
      <c r="A1295" s="9">
        <f t="shared" si="94"/>
        <v>300</v>
      </c>
      <c r="B1295" s="17" t="s">
        <v>1029</v>
      </c>
      <c r="C1295" s="18">
        <f t="shared" si="93"/>
        <v>60909545.609999999</v>
      </c>
      <c r="D1295" s="18">
        <v>657351.43999999994</v>
      </c>
      <c r="E1295" s="18"/>
      <c r="F1295" s="18"/>
      <c r="G1295" s="18">
        <v>9002958.0700000003</v>
      </c>
      <c r="H1295" s="18">
        <v>4297745.91</v>
      </c>
      <c r="I1295" s="18">
        <v>2475330.38</v>
      </c>
      <c r="J1295" s="18">
        <v>1806754.07</v>
      </c>
      <c r="K1295" s="18"/>
      <c r="L1295" s="10"/>
      <c r="M1295" s="18"/>
      <c r="N1295" s="10" t="s">
        <v>552</v>
      </c>
      <c r="O1295" s="18">
        <v>20583608.77</v>
      </c>
      <c r="P1295" s="18"/>
      <c r="Q1295" s="18">
        <v>22085796.969999999</v>
      </c>
      <c r="R1295" s="18"/>
      <c r="S1295" s="18"/>
    </row>
    <row r="1296" spans="1:19" x14ac:dyDescent="0.25">
      <c r="A1296" s="9">
        <f t="shared" si="94"/>
        <v>301</v>
      </c>
      <c r="B1296" s="17" t="s">
        <v>1031</v>
      </c>
      <c r="C1296" s="18">
        <f t="shared" si="93"/>
        <v>45832905.310000002</v>
      </c>
      <c r="D1296" s="18">
        <v>187363.51</v>
      </c>
      <c r="E1296" s="18"/>
      <c r="F1296" s="18">
        <v>7686183.4500000002</v>
      </c>
      <c r="G1296" s="18">
        <v>10408067.35</v>
      </c>
      <c r="H1296" s="18">
        <v>3336007.07</v>
      </c>
      <c r="I1296" s="18">
        <v>1392603.01</v>
      </c>
      <c r="J1296" s="18">
        <v>2036880.13</v>
      </c>
      <c r="K1296" s="18"/>
      <c r="L1296" s="10"/>
      <c r="M1296" s="18"/>
      <c r="N1296" s="10" t="s">
        <v>552</v>
      </c>
      <c r="O1296" s="18">
        <v>20785800.789999999</v>
      </c>
      <c r="P1296" s="18"/>
      <c r="Q1296" s="18"/>
      <c r="R1296" s="18"/>
      <c r="S1296" s="18"/>
    </row>
    <row r="1297" spans="1:19" x14ac:dyDescent="0.25">
      <c r="A1297" s="9">
        <f t="shared" si="94"/>
        <v>302</v>
      </c>
      <c r="B1297" s="17" t="s">
        <v>1033</v>
      </c>
      <c r="C1297" s="18">
        <f t="shared" si="93"/>
        <v>43561084.899999999</v>
      </c>
      <c r="D1297" s="18"/>
      <c r="E1297" s="18"/>
      <c r="F1297" s="18"/>
      <c r="G1297" s="18"/>
      <c r="H1297" s="18"/>
      <c r="I1297" s="18"/>
      <c r="J1297" s="18"/>
      <c r="K1297" s="18"/>
      <c r="L1297" s="10"/>
      <c r="M1297" s="18"/>
      <c r="N1297" s="10" t="s">
        <v>552</v>
      </c>
      <c r="O1297" s="18">
        <v>21167159.059999999</v>
      </c>
      <c r="P1297" s="18"/>
      <c r="Q1297" s="18">
        <v>22393925.84</v>
      </c>
      <c r="R1297" s="18"/>
      <c r="S1297" s="18"/>
    </row>
    <row r="1298" spans="1:19" x14ac:dyDescent="0.25">
      <c r="A1298" s="9">
        <f t="shared" si="94"/>
        <v>303</v>
      </c>
      <c r="B1298" s="17" t="s">
        <v>1035</v>
      </c>
      <c r="C1298" s="18">
        <f t="shared" si="93"/>
        <v>4035929.83</v>
      </c>
      <c r="D1298" s="18"/>
      <c r="E1298" s="18"/>
      <c r="F1298" s="18"/>
      <c r="G1298" s="18">
        <v>2777117.88</v>
      </c>
      <c r="H1298" s="18">
        <v>915124.31</v>
      </c>
      <c r="I1298" s="18">
        <v>343687.64</v>
      </c>
      <c r="J1298" s="18"/>
      <c r="K1298" s="18"/>
      <c r="L1298" s="10"/>
      <c r="M1298" s="18"/>
      <c r="N1298" s="10"/>
      <c r="O1298" s="18"/>
      <c r="P1298" s="18"/>
      <c r="Q1298" s="18"/>
      <c r="R1298" s="18"/>
      <c r="S1298" s="18"/>
    </row>
    <row r="1299" spans="1:19" x14ac:dyDescent="0.25">
      <c r="A1299" s="9"/>
      <c r="B1299" s="50" t="s">
        <v>2089</v>
      </c>
      <c r="C1299" s="18">
        <f>ROUND(D1299+E1299+F1299+G1299+H1299+I1299+J1299+K1299+M1299+O1299+P1299+Q1299+R1299+S1299,2)</f>
        <v>426094031.24000001</v>
      </c>
      <c r="D1299" s="18">
        <f t="shared" ref="D1299:S1299" si="95">SUM(D1284:D1298)</f>
        <v>2359184.54</v>
      </c>
      <c r="E1299" s="18">
        <f t="shared" si="95"/>
        <v>0</v>
      </c>
      <c r="F1299" s="18">
        <f t="shared" si="95"/>
        <v>36194837.080000006</v>
      </c>
      <c r="G1299" s="18">
        <f t="shared" si="95"/>
        <v>71986541.989999995</v>
      </c>
      <c r="H1299" s="18">
        <f t="shared" si="95"/>
        <v>26234840.039999995</v>
      </c>
      <c r="I1299" s="18">
        <f t="shared" si="95"/>
        <v>12120079.390000001</v>
      </c>
      <c r="J1299" s="18">
        <f t="shared" si="95"/>
        <v>13924026.52</v>
      </c>
      <c r="K1299" s="18">
        <f t="shared" si="95"/>
        <v>0</v>
      </c>
      <c r="L1299" s="10">
        <f t="shared" si="95"/>
        <v>0</v>
      </c>
      <c r="M1299" s="18">
        <f t="shared" si="95"/>
        <v>0</v>
      </c>
      <c r="N1299" s="18" t="s">
        <v>42</v>
      </c>
      <c r="O1299" s="18">
        <f t="shared" si="95"/>
        <v>126493939.09</v>
      </c>
      <c r="P1299" s="18">
        <f t="shared" si="95"/>
        <v>0</v>
      </c>
      <c r="Q1299" s="18">
        <f t="shared" si="95"/>
        <v>136780582.59</v>
      </c>
      <c r="R1299" s="18">
        <f t="shared" si="95"/>
        <v>0</v>
      </c>
      <c r="S1299" s="18">
        <f t="shared" si="95"/>
        <v>0</v>
      </c>
    </row>
    <row r="1300" spans="1:19" x14ac:dyDescent="0.25">
      <c r="A1300" s="9"/>
      <c r="B1300" s="34" t="s">
        <v>1039</v>
      </c>
      <c r="C1300" s="19"/>
      <c r="D1300" s="46"/>
      <c r="E1300" s="47"/>
      <c r="F1300" s="13"/>
      <c r="G1300" s="13"/>
      <c r="H1300" s="13"/>
      <c r="I1300" s="13"/>
      <c r="J1300" s="13"/>
      <c r="K1300" s="13"/>
      <c r="L1300" s="14"/>
      <c r="M1300" s="13"/>
      <c r="N1300" s="14"/>
      <c r="O1300" s="13"/>
      <c r="P1300" s="13"/>
      <c r="Q1300" s="13"/>
      <c r="R1300" s="13"/>
      <c r="S1300" s="13"/>
    </row>
    <row r="1301" spans="1:19" x14ac:dyDescent="0.25">
      <c r="A1301" s="9" t="s">
        <v>649</v>
      </c>
      <c r="B1301" s="17" t="s">
        <v>1041</v>
      </c>
      <c r="C1301" s="18">
        <f t="shared" ref="C1301:C1311" si="96">ROUNDUP(SUM(D1301+E1301+F1301+G1301+H1301+I1301+J1301+K1301+M1301+O1301+P1301+Q1301+R1301+S1301),2)</f>
        <v>5807326.1500000004</v>
      </c>
      <c r="D1301" s="18">
        <v>113869.14</v>
      </c>
      <c r="E1301" s="18"/>
      <c r="F1301" s="18"/>
      <c r="G1301" s="18"/>
      <c r="H1301" s="18"/>
      <c r="I1301" s="18"/>
      <c r="J1301" s="18"/>
      <c r="K1301" s="18"/>
      <c r="L1301" s="10"/>
      <c r="M1301" s="18"/>
      <c r="N1301" s="10" t="s">
        <v>883</v>
      </c>
      <c r="O1301" s="18">
        <v>5693457.0099999998</v>
      </c>
      <c r="P1301" s="18"/>
      <c r="Q1301" s="18"/>
      <c r="R1301" s="18"/>
      <c r="S1301" s="18"/>
    </row>
    <row r="1302" spans="1:19" x14ac:dyDescent="0.25">
      <c r="A1302" s="9">
        <f t="shared" ref="A1302:A1311" si="97">1+A1301</f>
        <v>305</v>
      </c>
      <c r="B1302" s="17" t="s">
        <v>1043</v>
      </c>
      <c r="C1302" s="18">
        <f t="shared" si="96"/>
        <v>8355414.1699999999</v>
      </c>
      <c r="D1302" s="18">
        <v>163831.65</v>
      </c>
      <c r="E1302" s="18"/>
      <c r="F1302" s="18"/>
      <c r="G1302" s="18"/>
      <c r="H1302" s="18"/>
      <c r="I1302" s="18"/>
      <c r="J1302" s="18"/>
      <c r="K1302" s="18"/>
      <c r="L1302" s="10"/>
      <c r="M1302" s="18"/>
      <c r="N1302" s="10" t="s">
        <v>883</v>
      </c>
      <c r="O1302" s="18">
        <v>8191582.5199999996</v>
      </c>
      <c r="P1302" s="18"/>
      <c r="Q1302" s="18"/>
      <c r="R1302" s="18"/>
      <c r="S1302" s="18"/>
    </row>
    <row r="1303" spans="1:19" x14ac:dyDescent="0.25">
      <c r="A1303" s="9">
        <f t="shared" si="97"/>
        <v>306</v>
      </c>
      <c r="B1303" s="17" t="s">
        <v>1049</v>
      </c>
      <c r="C1303" s="18">
        <f t="shared" si="96"/>
        <v>14522049.890000001</v>
      </c>
      <c r="D1303" s="18">
        <v>284746.08</v>
      </c>
      <c r="E1303" s="18"/>
      <c r="F1303" s="18">
        <v>2968737.98</v>
      </c>
      <c r="G1303" s="18"/>
      <c r="H1303" s="18"/>
      <c r="I1303" s="18"/>
      <c r="J1303" s="18"/>
      <c r="K1303" s="30"/>
      <c r="L1303" s="10"/>
      <c r="M1303" s="18"/>
      <c r="N1303" s="10" t="s">
        <v>552</v>
      </c>
      <c r="O1303" s="18">
        <v>11268565.83</v>
      </c>
      <c r="P1303" s="18"/>
      <c r="Q1303" s="18"/>
      <c r="R1303" s="18"/>
      <c r="S1303" s="18"/>
    </row>
    <row r="1304" spans="1:19" x14ac:dyDescent="0.25">
      <c r="A1304" s="9">
        <f t="shared" si="97"/>
        <v>307</v>
      </c>
      <c r="B1304" s="17" t="s">
        <v>1053</v>
      </c>
      <c r="C1304" s="18">
        <f t="shared" si="96"/>
        <v>828402.46</v>
      </c>
      <c r="D1304" s="18">
        <v>16243.19</v>
      </c>
      <c r="E1304" s="18"/>
      <c r="F1304" s="18"/>
      <c r="G1304" s="18"/>
      <c r="H1304" s="18"/>
      <c r="I1304" s="18"/>
      <c r="J1304" s="18">
        <v>812159.27</v>
      </c>
      <c r="K1304" s="18"/>
      <c r="L1304" s="10"/>
      <c r="M1304" s="18"/>
      <c r="N1304" s="10"/>
      <c r="O1304" s="18"/>
      <c r="P1304" s="18"/>
      <c r="Q1304" s="18"/>
      <c r="R1304" s="18"/>
      <c r="S1304" s="18"/>
    </row>
    <row r="1305" spans="1:19" x14ac:dyDescent="0.25">
      <c r="A1305" s="9">
        <f t="shared" si="97"/>
        <v>308</v>
      </c>
      <c r="B1305" s="17" t="s">
        <v>1059</v>
      </c>
      <c r="C1305" s="18">
        <f t="shared" si="96"/>
        <v>4692731.3</v>
      </c>
      <c r="D1305" s="18">
        <v>92014.34</v>
      </c>
      <c r="E1305" s="18"/>
      <c r="F1305" s="18">
        <v>1087297.6599999999</v>
      </c>
      <c r="G1305" s="18"/>
      <c r="H1305" s="18"/>
      <c r="I1305" s="18"/>
      <c r="J1305" s="18"/>
      <c r="K1305" s="18"/>
      <c r="L1305" s="10"/>
      <c r="M1305" s="18"/>
      <c r="N1305" s="10" t="s">
        <v>552</v>
      </c>
      <c r="O1305" s="18">
        <v>3513419.3</v>
      </c>
      <c r="P1305" s="18"/>
      <c r="Q1305" s="18"/>
      <c r="R1305" s="18"/>
      <c r="S1305" s="18"/>
    </row>
    <row r="1306" spans="1:19" x14ac:dyDescent="0.25">
      <c r="A1306" s="9">
        <f t="shared" si="97"/>
        <v>309</v>
      </c>
      <c r="B1306" s="17" t="s">
        <v>1061</v>
      </c>
      <c r="C1306" s="18">
        <f t="shared" si="96"/>
        <v>1085400.8</v>
      </c>
      <c r="D1306" s="18">
        <v>21282.37</v>
      </c>
      <c r="E1306" s="18"/>
      <c r="F1306" s="18"/>
      <c r="G1306" s="18"/>
      <c r="H1306" s="18"/>
      <c r="I1306" s="18"/>
      <c r="J1306" s="18"/>
      <c r="K1306" s="18"/>
      <c r="L1306" s="10"/>
      <c r="M1306" s="18"/>
      <c r="N1306" s="10"/>
      <c r="O1306" s="18"/>
      <c r="P1306" s="18">
        <v>1064118.43</v>
      </c>
      <c r="Q1306" s="18"/>
      <c r="R1306" s="18"/>
      <c r="S1306" s="18"/>
    </row>
    <row r="1307" spans="1:19" x14ac:dyDescent="0.25">
      <c r="A1307" s="9">
        <f t="shared" si="97"/>
        <v>310</v>
      </c>
      <c r="B1307" s="17" t="s">
        <v>1063</v>
      </c>
      <c r="C1307" s="18">
        <f t="shared" si="96"/>
        <v>4892294.99</v>
      </c>
      <c r="D1307" s="18">
        <v>95927.35</v>
      </c>
      <c r="E1307" s="18"/>
      <c r="F1307" s="18"/>
      <c r="G1307" s="18"/>
      <c r="H1307" s="18"/>
      <c r="I1307" s="18"/>
      <c r="J1307" s="18"/>
      <c r="K1307" s="18"/>
      <c r="L1307" s="10"/>
      <c r="M1307" s="18"/>
      <c r="N1307" s="10" t="s">
        <v>883</v>
      </c>
      <c r="O1307" s="18">
        <v>4796367.6399999997</v>
      </c>
      <c r="P1307" s="18"/>
      <c r="Q1307" s="18"/>
      <c r="R1307" s="18"/>
      <c r="S1307" s="18"/>
    </row>
    <row r="1308" spans="1:19" x14ac:dyDescent="0.25">
      <c r="A1308" s="9">
        <f t="shared" si="97"/>
        <v>311</v>
      </c>
      <c r="B1308" s="17" t="s">
        <v>1065</v>
      </c>
      <c r="C1308" s="18">
        <f t="shared" si="96"/>
        <v>1511776.24</v>
      </c>
      <c r="D1308" s="18">
        <v>29642.67</v>
      </c>
      <c r="E1308" s="18"/>
      <c r="F1308" s="18"/>
      <c r="G1308" s="18">
        <v>1103661.3400000001</v>
      </c>
      <c r="H1308" s="18"/>
      <c r="I1308" s="18">
        <v>378472.23</v>
      </c>
      <c r="J1308" s="18"/>
      <c r="K1308" s="18"/>
      <c r="L1308" s="10"/>
      <c r="M1308" s="18"/>
      <c r="N1308" s="10"/>
      <c r="O1308" s="18"/>
      <c r="P1308" s="18"/>
      <c r="Q1308" s="18"/>
      <c r="R1308" s="18"/>
      <c r="S1308" s="18"/>
    </row>
    <row r="1309" spans="1:19" x14ac:dyDescent="0.25">
      <c r="A1309" s="9">
        <f t="shared" si="97"/>
        <v>312</v>
      </c>
      <c r="B1309" s="17" t="s">
        <v>1067</v>
      </c>
      <c r="C1309" s="18">
        <f>ROUNDUP(SUM(D1309+E1309+F1309+G1309+H1309+I1309+J1309+K1309+M1309+O1309+P1309+Q1309+R1309+S1309),2)</f>
        <v>5705749.5</v>
      </c>
      <c r="D1309" s="18">
        <v>111877.44</v>
      </c>
      <c r="E1309" s="18"/>
      <c r="F1309" s="18"/>
      <c r="G1309" s="18">
        <v>2459963.38</v>
      </c>
      <c r="H1309" s="18">
        <v>1548588.81</v>
      </c>
      <c r="I1309" s="18">
        <v>604892.31000000006</v>
      </c>
      <c r="J1309" s="18">
        <v>980427.56</v>
      </c>
      <c r="K1309" s="18"/>
      <c r="L1309" s="10"/>
      <c r="M1309" s="18"/>
      <c r="N1309" s="10"/>
      <c r="O1309" s="18"/>
      <c r="P1309" s="18"/>
      <c r="Q1309" s="18"/>
      <c r="R1309" s="18"/>
      <c r="S1309" s="18"/>
    </row>
    <row r="1310" spans="1:19" x14ac:dyDescent="0.25">
      <c r="A1310" s="9">
        <f t="shared" si="97"/>
        <v>313</v>
      </c>
      <c r="B1310" s="17" t="s">
        <v>1069</v>
      </c>
      <c r="C1310" s="18">
        <f>ROUNDUP(SUM(D1310+E1310+F1310+G1310+H1310+I1310+J1310+K1310+M1310+O1310+P1310+Q1310+R1310+S1310),2)</f>
        <v>5326332.82</v>
      </c>
      <c r="D1310" s="18">
        <v>104437.9</v>
      </c>
      <c r="E1310" s="18"/>
      <c r="F1310" s="18"/>
      <c r="G1310" s="18"/>
      <c r="H1310" s="18"/>
      <c r="I1310" s="18"/>
      <c r="J1310" s="18"/>
      <c r="K1310" s="18"/>
      <c r="L1310" s="10"/>
      <c r="M1310" s="18"/>
      <c r="N1310" s="10" t="s">
        <v>883</v>
      </c>
      <c r="O1310" s="18">
        <v>5221894.92</v>
      </c>
      <c r="P1310" s="18"/>
      <c r="Q1310" s="18"/>
      <c r="R1310" s="18"/>
      <c r="S1310" s="18"/>
    </row>
    <row r="1311" spans="1:19" x14ac:dyDescent="0.25">
      <c r="A1311" s="9">
        <f t="shared" si="97"/>
        <v>314</v>
      </c>
      <c r="B1311" s="17" t="s">
        <v>1071</v>
      </c>
      <c r="C1311" s="18">
        <f t="shared" si="96"/>
        <v>1478231.94</v>
      </c>
      <c r="D1311" s="18">
        <v>28984.94</v>
      </c>
      <c r="E1311" s="18"/>
      <c r="F1311" s="18">
        <v>1449247</v>
      </c>
      <c r="G1311" s="18"/>
      <c r="H1311" s="18"/>
      <c r="I1311" s="18"/>
      <c r="J1311" s="18"/>
      <c r="K1311" s="18"/>
      <c r="L1311" s="10"/>
      <c r="M1311" s="18"/>
      <c r="N1311" s="10"/>
      <c r="O1311" s="18"/>
      <c r="P1311" s="18"/>
      <c r="Q1311" s="18"/>
      <c r="R1311" s="18"/>
      <c r="S1311" s="18"/>
    </row>
    <row r="1312" spans="1:19" ht="30" x14ac:dyDescent="0.25">
      <c r="A1312" s="9"/>
      <c r="B1312" s="50" t="s">
        <v>2090</v>
      </c>
      <c r="C1312" s="18">
        <f>ROUND(D1312+E1312+F1312+G1312+H1312+I1312+J1312+K1312+M1312+O1312+P1312+Q1312+R1312+S1312,2)</f>
        <v>54205710.259999998</v>
      </c>
      <c r="D1312" s="18">
        <f t="shared" ref="D1312:S1312" si="98">SUM(D1301:D1311)</f>
        <v>1062857.07</v>
      </c>
      <c r="E1312" s="18">
        <f t="shared" si="98"/>
        <v>0</v>
      </c>
      <c r="F1312" s="18">
        <f t="shared" si="98"/>
        <v>5505282.6399999997</v>
      </c>
      <c r="G1312" s="18">
        <f t="shared" si="98"/>
        <v>3563624.7199999997</v>
      </c>
      <c r="H1312" s="18">
        <f t="shared" si="98"/>
        <v>1548588.81</v>
      </c>
      <c r="I1312" s="18">
        <f t="shared" si="98"/>
        <v>983364.54</v>
      </c>
      <c r="J1312" s="18">
        <f t="shared" si="98"/>
        <v>1792586.83</v>
      </c>
      <c r="K1312" s="18">
        <f t="shared" si="98"/>
        <v>0</v>
      </c>
      <c r="L1312" s="10">
        <f t="shared" si="98"/>
        <v>0</v>
      </c>
      <c r="M1312" s="18">
        <f t="shared" si="98"/>
        <v>0</v>
      </c>
      <c r="N1312" s="18" t="s">
        <v>42</v>
      </c>
      <c r="O1312" s="18">
        <f t="shared" si="98"/>
        <v>38685287.219999999</v>
      </c>
      <c r="P1312" s="18">
        <f t="shared" si="98"/>
        <v>1064118.43</v>
      </c>
      <c r="Q1312" s="18">
        <f t="shared" si="98"/>
        <v>0</v>
      </c>
      <c r="R1312" s="18">
        <f t="shared" si="98"/>
        <v>0</v>
      </c>
      <c r="S1312" s="18">
        <f t="shared" si="98"/>
        <v>0</v>
      </c>
    </row>
    <row r="1313" spans="1:19" x14ac:dyDescent="0.25">
      <c r="A1313" s="9"/>
      <c r="B1313" s="34" t="s">
        <v>1083</v>
      </c>
      <c r="C1313" s="18"/>
      <c r="D1313" s="46"/>
      <c r="E1313" s="47"/>
      <c r="F1313" s="13"/>
      <c r="G1313" s="13"/>
      <c r="H1313" s="13"/>
      <c r="I1313" s="13"/>
      <c r="J1313" s="13"/>
      <c r="K1313" s="13"/>
      <c r="L1313" s="14"/>
      <c r="M1313" s="13"/>
      <c r="N1313" s="14"/>
      <c r="O1313" s="13"/>
      <c r="P1313" s="13"/>
      <c r="Q1313" s="13"/>
      <c r="R1313" s="13"/>
      <c r="S1313" s="13"/>
    </row>
    <row r="1314" spans="1:19" x14ac:dyDescent="0.25">
      <c r="A1314" s="9" t="s">
        <v>671</v>
      </c>
      <c r="B1314" s="17" t="s">
        <v>1093</v>
      </c>
      <c r="C1314" s="18">
        <f t="shared" ref="C1314:C1345" si="99">ROUNDUP(SUM(D1314+E1314+F1314+G1314+H1314+I1314+J1314+K1314+M1314+O1314+P1314+Q1314+R1314+S1314),2)</f>
        <v>13358952.77</v>
      </c>
      <c r="D1314" s="18"/>
      <c r="E1314" s="18"/>
      <c r="F1314" s="18"/>
      <c r="G1314" s="18"/>
      <c r="H1314" s="18"/>
      <c r="I1314" s="18"/>
      <c r="J1314" s="18"/>
      <c r="K1314" s="18"/>
      <c r="L1314" s="10"/>
      <c r="M1314" s="18"/>
      <c r="N1314" s="10"/>
      <c r="O1314" s="18"/>
      <c r="P1314" s="18"/>
      <c r="Q1314" s="18">
        <v>13358952.77</v>
      </c>
      <c r="R1314" s="18"/>
      <c r="S1314" s="18"/>
    </row>
    <row r="1315" spans="1:19" x14ac:dyDescent="0.25">
      <c r="A1315" s="9" t="s">
        <v>673</v>
      </c>
      <c r="B1315" s="17" t="s">
        <v>1101</v>
      </c>
      <c r="C1315" s="18">
        <f t="shared" si="99"/>
        <v>22712604.190000001</v>
      </c>
      <c r="D1315" s="18"/>
      <c r="E1315" s="18"/>
      <c r="F1315" s="18"/>
      <c r="G1315" s="18"/>
      <c r="H1315" s="18"/>
      <c r="I1315" s="18"/>
      <c r="J1315" s="18"/>
      <c r="K1315" s="18"/>
      <c r="L1315" s="10"/>
      <c r="M1315" s="18"/>
      <c r="N1315" s="10" t="s">
        <v>552</v>
      </c>
      <c r="O1315" s="18">
        <v>10549735.550000001</v>
      </c>
      <c r="P1315" s="18"/>
      <c r="Q1315" s="18">
        <v>12162868.640000001</v>
      </c>
      <c r="R1315" s="18"/>
      <c r="S1315" s="18"/>
    </row>
    <row r="1316" spans="1:19" x14ac:dyDescent="0.25">
      <c r="A1316" s="9" t="s">
        <v>675</v>
      </c>
      <c r="B1316" s="17" t="s">
        <v>1109</v>
      </c>
      <c r="C1316" s="18">
        <f t="shared" si="99"/>
        <v>10360464.17</v>
      </c>
      <c r="D1316" s="18"/>
      <c r="E1316" s="18"/>
      <c r="F1316" s="18">
        <v>5374814.6799999997</v>
      </c>
      <c r="G1316" s="18"/>
      <c r="H1316" s="18">
        <v>1832484.61</v>
      </c>
      <c r="I1316" s="18">
        <v>954765.29</v>
      </c>
      <c r="J1316" s="18">
        <v>2198399.59</v>
      </c>
      <c r="K1316" s="18"/>
      <c r="L1316" s="10"/>
      <c r="M1316" s="18"/>
      <c r="N1316" s="10"/>
      <c r="O1316" s="18"/>
      <c r="P1316" s="18"/>
      <c r="Q1316" s="18"/>
      <c r="R1316" s="18"/>
      <c r="S1316" s="18"/>
    </row>
    <row r="1317" spans="1:19" x14ac:dyDescent="0.25">
      <c r="A1317" s="9" t="s">
        <v>677</v>
      </c>
      <c r="B1317" s="17" t="s">
        <v>1111</v>
      </c>
      <c r="C1317" s="18">
        <f t="shared" si="99"/>
        <v>3023623.71</v>
      </c>
      <c r="D1317" s="18"/>
      <c r="E1317" s="18"/>
      <c r="F1317" s="18"/>
      <c r="G1317" s="18"/>
      <c r="H1317" s="18">
        <v>1450421.78</v>
      </c>
      <c r="I1317" s="18">
        <v>651603.35</v>
      </c>
      <c r="J1317" s="18">
        <v>921598.58</v>
      </c>
      <c r="K1317" s="18"/>
      <c r="L1317" s="10"/>
      <c r="M1317" s="18"/>
      <c r="N1317" s="10"/>
      <c r="O1317" s="18"/>
      <c r="P1317" s="18"/>
      <c r="Q1317" s="18"/>
      <c r="R1317" s="18"/>
      <c r="S1317" s="18"/>
    </row>
    <row r="1318" spans="1:19" x14ac:dyDescent="0.25">
      <c r="A1318" s="9" t="s">
        <v>679</v>
      </c>
      <c r="B1318" s="17" t="s">
        <v>1113</v>
      </c>
      <c r="C1318" s="18">
        <f t="shared" si="99"/>
        <v>4239394.03</v>
      </c>
      <c r="D1318" s="18"/>
      <c r="E1318" s="18"/>
      <c r="F1318" s="18"/>
      <c r="G1318" s="18"/>
      <c r="H1318" s="18">
        <v>1871852.92</v>
      </c>
      <c r="I1318" s="18">
        <v>908263.68</v>
      </c>
      <c r="J1318" s="18">
        <v>1459277.43</v>
      </c>
      <c r="K1318" s="18"/>
      <c r="L1318" s="10"/>
      <c r="M1318" s="18"/>
      <c r="N1318" s="10"/>
      <c r="O1318" s="18"/>
      <c r="P1318" s="18"/>
      <c r="Q1318" s="18"/>
      <c r="R1318" s="18"/>
      <c r="S1318" s="18"/>
    </row>
    <row r="1319" spans="1:19" x14ac:dyDescent="0.25">
      <c r="A1319" s="9" t="s">
        <v>681</v>
      </c>
      <c r="B1319" s="17" t="s">
        <v>1115</v>
      </c>
      <c r="C1319" s="18">
        <f t="shared" si="99"/>
        <v>28875810.670000002</v>
      </c>
      <c r="D1319" s="18"/>
      <c r="E1319" s="18"/>
      <c r="F1319" s="18">
        <v>4518013.17</v>
      </c>
      <c r="G1319" s="18"/>
      <c r="H1319" s="18"/>
      <c r="I1319" s="18"/>
      <c r="J1319" s="18"/>
      <c r="K1319" s="18"/>
      <c r="L1319" s="10"/>
      <c r="M1319" s="18"/>
      <c r="N1319" s="10"/>
      <c r="O1319" s="18"/>
      <c r="P1319" s="18">
        <v>4791222.91</v>
      </c>
      <c r="Q1319" s="18">
        <v>19566574.59</v>
      </c>
      <c r="R1319" s="18"/>
      <c r="S1319" s="18"/>
    </row>
    <row r="1320" spans="1:19" x14ac:dyDescent="0.25">
      <c r="A1320" s="9" t="s">
        <v>683</v>
      </c>
      <c r="B1320" s="17" t="s">
        <v>1117</v>
      </c>
      <c r="C1320" s="18">
        <f>ROUNDUP(SUM(D1320+E1320+F1320+G1320+H1320+I1320+J1320+K1320+M1320+O1320+P1320+Q1320+R1320+S1320),2)</f>
        <v>10051210.27</v>
      </c>
      <c r="D1320" s="18"/>
      <c r="E1320" s="18"/>
      <c r="F1320" s="18">
        <v>2735295.84</v>
      </c>
      <c r="G1320" s="18">
        <v>3480769.78</v>
      </c>
      <c r="H1320" s="18">
        <v>1735608.94</v>
      </c>
      <c r="I1320" s="18">
        <v>788016.34</v>
      </c>
      <c r="J1320" s="18">
        <v>1311519.3700000001</v>
      </c>
      <c r="K1320" s="18"/>
      <c r="L1320" s="10"/>
      <c r="M1320" s="18"/>
      <c r="N1320" s="10"/>
      <c r="O1320" s="18"/>
      <c r="P1320" s="18"/>
      <c r="Q1320" s="18"/>
      <c r="R1320" s="18"/>
      <c r="S1320" s="18"/>
    </row>
    <row r="1321" spans="1:19" x14ac:dyDescent="0.25">
      <c r="A1321" s="9" t="s">
        <v>685</v>
      </c>
      <c r="B1321" s="17" t="s">
        <v>1121</v>
      </c>
      <c r="C1321" s="18">
        <f t="shared" si="99"/>
        <v>16853027.059999999</v>
      </c>
      <c r="D1321" s="18"/>
      <c r="E1321" s="18"/>
      <c r="F1321" s="18"/>
      <c r="G1321" s="18">
        <v>8931070.1699999999</v>
      </c>
      <c r="H1321" s="18">
        <v>3565370.81</v>
      </c>
      <c r="I1321" s="18">
        <v>1642672.16</v>
      </c>
      <c r="J1321" s="18">
        <v>2713913.92</v>
      </c>
      <c r="K1321" s="18"/>
      <c r="L1321" s="10"/>
      <c r="M1321" s="18"/>
      <c r="N1321" s="10"/>
      <c r="O1321" s="18"/>
      <c r="P1321" s="18"/>
      <c r="Q1321" s="18"/>
      <c r="R1321" s="18"/>
      <c r="S1321" s="18"/>
    </row>
    <row r="1322" spans="1:19" x14ac:dyDescent="0.25">
      <c r="A1322" s="9" t="s">
        <v>687</v>
      </c>
      <c r="B1322" s="17" t="s">
        <v>1123</v>
      </c>
      <c r="C1322" s="18">
        <f t="shared" si="99"/>
        <v>26839412.66</v>
      </c>
      <c r="D1322" s="18"/>
      <c r="E1322" s="18"/>
      <c r="F1322" s="18"/>
      <c r="G1322" s="18"/>
      <c r="H1322" s="18"/>
      <c r="I1322" s="18"/>
      <c r="J1322" s="18"/>
      <c r="K1322" s="18"/>
      <c r="L1322" s="10"/>
      <c r="M1322" s="18"/>
      <c r="N1322" s="10"/>
      <c r="O1322" s="18"/>
      <c r="P1322" s="18"/>
      <c r="Q1322" s="18">
        <v>26839412.66</v>
      </c>
      <c r="R1322" s="18"/>
      <c r="S1322" s="18"/>
    </row>
    <row r="1323" spans="1:19" x14ac:dyDescent="0.25">
      <c r="A1323" s="9" t="s">
        <v>689</v>
      </c>
      <c r="B1323" s="17" t="s">
        <v>1127</v>
      </c>
      <c r="C1323" s="18">
        <f t="shared" si="99"/>
        <v>39328577.649999999</v>
      </c>
      <c r="D1323" s="18"/>
      <c r="E1323" s="18"/>
      <c r="F1323" s="18"/>
      <c r="G1323" s="18"/>
      <c r="H1323" s="18"/>
      <c r="I1323" s="18"/>
      <c r="J1323" s="18"/>
      <c r="K1323" s="18"/>
      <c r="L1323" s="10"/>
      <c r="M1323" s="18"/>
      <c r="N1323" s="10"/>
      <c r="O1323" s="18"/>
      <c r="P1323" s="18"/>
      <c r="Q1323" s="18">
        <f>5354315.99+33974261.66</f>
        <v>39328577.649999999</v>
      </c>
      <c r="R1323" s="18"/>
      <c r="S1323" s="18"/>
    </row>
    <row r="1324" spans="1:19" x14ac:dyDescent="0.25">
      <c r="A1324" s="9" t="s">
        <v>691</v>
      </c>
      <c r="B1324" s="17" t="s">
        <v>1133</v>
      </c>
      <c r="C1324" s="18">
        <f>ROUNDUP(SUM(D1324+E1324+F1324+G1324+H1324+I1324+J1324+K1324+M1324+O1324+P1324+Q1324+R1324+S1324),2)</f>
        <v>10844459.050000001</v>
      </c>
      <c r="D1324" s="18">
        <v>6333.43</v>
      </c>
      <c r="E1324" s="18"/>
      <c r="F1324" s="18"/>
      <c r="G1324" s="18">
        <v>3761007.29</v>
      </c>
      <c r="H1324" s="18">
        <v>3372554.21</v>
      </c>
      <c r="I1324" s="18">
        <v>769988.65</v>
      </c>
      <c r="J1324" s="18">
        <v>2934575.47</v>
      </c>
      <c r="K1324" s="18"/>
      <c r="L1324" s="10"/>
      <c r="M1324" s="18"/>
      <c r="N1324" s="10"/>
      <c r="O1324" s="18"/>
      <c r="P1324" s="18"/>
      <c r="Q1324" s="18"/>
      <c r="R1324" s="18"/>
      <c r="S1324" s="18"/>
    </row>
    <row r="1325" spans="1:19" x14ac:dyDescent="0.25">
      <c r="A1325" s="9" t="s">
        <v>693</v>
      </c>
      <c r="B1325" s="17" t="s">
        <v>1917</v>
      </c>
      <c r="C1325" s="18">
        <f t="shared" si="99"/>
        <v>1450102.24</v>
      </c>
      <c r="D1325" s="18"/>
      <c r="E1325" s="18"/>
      <c r="F1325" s="18"/>
      <c r="G1325" s="18"/>
      <c r="H1325" s="18"/>
      <c r="I1325" s="18"/>
      <c r="J1325" s="18"/>
      <c r="K1325" s="18"/>
      <c r="L1325" s="10"/>
      <c r="M1325" s="18"/>
      <c r="N1325" s="10"/>
      <c r="O1325" s="18"/>
      <c r="P1325" s="18"/>
      <c r="Q1325" s="18">
        <v>1450102.24</v>
      </c>
      <c r="R1325" s="18"/>
      <c r="S1325" s="18"/>
    </row>
    <row r="1326" spans="1:19" x14ac:dyDescent="0.25">
      <c r="A1326" s="9" t="s">
        <v>695</v>
      </c>
      <c r="B1326" s="17" t="s">
        <v>1137</v>
      </c>
      <c r="C1326" s="18">
        <f t="shared" si="99"/>
        <v>27615472.309999999</v>
      </c>
      <c r="D1326" s="18"/>
      <c r="E1326" s="18"/>
      <c r="F1326" s="18"/>
      <c r="G1326" s="18"/>
      <c r="H1326" s="18"/>
      <c r="I1326" s="18"/>
      <c r="J1326" s="18"/>
      <c r="K1326" s="18"/>
      <c r="L1326" s="10"/>
      <c r="M1326" s="18"/>
      <c r="N1326" s="10"/>
      <c r="O1326" s="18"/>
      <c r="P1326" s="18"/>
      <c r="Q1326" s="18">
        <v>27615472.309999999</v>
      </c>
      <c r="R1326" s="18"/>
      <c r="S1326" s="18"/>
    </row>
    <row r="1327" spans="1:19" x14ac:dyDescent="0.25">
      <c r="A1327" s="9" t="s">
        <v>697</v>
      </c>
      <c r="B1327" s="17" t="s">
        <v>1918</v>
      </c>
      <c r="C1327" s="18">
        <f>ROUNDUP(SUM(D1327+E1327+F1327+G1327+H1327+I1327+J1327+K1327+M1327+O1327+P1327+Q1327+R1327+S1327),2)</f>
        <v>1844747.08</v>
      </c>
      <c r="D1327" s="18"/>
      <c r="E1327" s="18"/>
      <c r="F1327" s="18"/>
      <c r="G1327" s="18">
        <v>1844747.08</v>
      </c>
      <c r="H1327" s="18"/>
      <c r="I1327" s="18"/>
      <c r="J1327" s="18"/>
      <c r="K1327" s="18"/>
      <c r="L1327" s="10"/>
      <c r="M1327" s="18"/>
      <c r="N1327" s="10"/>
      <c r="O1327" s="18"/>
      <c r="P1327" s="18"/>
      <c r="Q1327" s="18"/>
      <c r="R1327" s="18"/>
      <c r="S1327" s="18"/>
    </row>
    <row r="1328" spans="1:19" x14ac:dyDescent="0.25">
      <c r="A1328" s="9" t="s">
        <v>699</v>
      </c>
      <c r="B1328" s="17" t="s">
        <v>1919</v>
      </c>
      <c r="C1328" s="18">
        <f t="shared" si="99"/>
        <v>999428.84</v>
      </c>
      <c r="D1328" s="18"/>
      <c r="E1328" s="18"/>
      <c r="F1328" s="18"/>
      <c r="G1328" s="18">
        <v>999428.84</v>
      </c>
      <c r="H1328" s="18"/>
      <c r="I1328" s="18"/>
      <c r="J1328" s="18"/>
      <c r="K1328" s="18"/>
      <c r="L1328" s="10"/>
      <c r="M1328" s="18"/>
      <c r="N1328" s="10"/>
      <c r="O1328" s="18"/>
      <c r="P1328" s="18"/>
      <c r="Q1328" s="18"/>
      <c r="R1328" s="18"/>
      <c r="S1328" s="18"/>
    </row>
    <row r="1329" spans="1:19" x14ac:dyDescent="0.25">
      <c r="A1329" s="9" t="s">
        <v>701</v>
      </c>
      <c r="B1329" s="17" t="s">
        <v>1151</v>
      </c>
      <c r="C1329" s="18">
        <f t="shared" si="99"/>
        <v>26400244.82</v>
      </c>
      <c r="D1329" s="18"/>
      <c r="E1329" s="18"/>
      <c r="F1329" s="18"/>
      <c r="G1329" s="18"/>
      <c r="H1329" s="18"/>
      <c r="I1329" s="18"/>
      <c r="J1329" s="18"/>
      <c r="K1329" s="18"/>
      <c r="L1329" s="10"/>
      <c r="M1329" s="18"/>
      <c r="N1329" s="10" t="s">
        <v>552</v>
      </c>
      <c r="O1329" s="18">
        <v>26400244.82</v>
      </c>
      <c r="P1329" s="18"/>
      <c r="Q1329" s="18"/>
      <c r="R1329" s="18"/>
      <c r="S1329" s="18"/>
    </row>
    <row r="1330" spans="1:19" x14ac:dyDescent="0.25">
      <c r="A1330" s="9" t="s">
        <v>703</v>
      </c>
      <c r="B1330" s="17" t="s">
        <v>1169</v>
      </c>
      <c r="C1330" s="18">
        <f t="shared" si="99"/>
        <v>8732950.9299999997</v>
      </c>
      <c r="D1330" s="18"/>
      <c r="E1330" s="18"/>
      <c r="F1330" s="18"/>
      <c r="G1330" s="18"/>
      <c r="H1330" s="18"/>
      <c r="I1330" s="18"/>
      <c r="J1330" s="18"/>
      <c r="K1330" s="18"/>
      <c r="L1330" s="10"/>
      <c r="M1330" s="18"/>
      <c r="N1330" s="10"/>
      <c r="O1330" s="18"/>
      <c r="P1330" s="18"/>
      <c r="Q1330" s="18">
        <v>8732950.9299999997</v>
      </c>
      <c r="R1330" s="18"/>
      <c r="S1330" s="18"/>
    </row>
    <row r="1331" spans="1:19" x14ac:dyDescent="0.25">
      <c r="A1331" s="9" t="s">
        <v>705</v>
      </c>
      <c r="B1331" s="17" t="s">
        <v>1177</v>
      </c>
      <c r="C1331" s="18">
        <f>ROUNDUP(SUM(D1331+E1331+F1331+G1331+H1331+I1331+J1331+K1331+M1331+O1331+P1331+Q1331+R1331+S1331),2)</f>
        <v>32230912.789999999</v>
      </c>
      <c r="D1331" s="18"/>
      <c r="E1331" s="18"/>
      <c r="F1331" s="18"/>
      <c r="G1331" s="18"/>
      <c r="H1331" s="18"/>
      <c r="I1331" s="18"/>
      <c r="J1331" s="18"/>
      <c r="K1331" s="18"/>
      <c r="L1331" s="10"/>
      <c r="M1331" s="18"/>
      <c r="N1331" s="10" t="s">
        <v>552</v>
      </c>
      <c r="O1331" s="18">
        <v>13473995.539999999</v>
      </c>
      <c r="P1331" s="18">
        <v>5664364.8399999999</v>
      </c>
      <c r="Q1331" s="18">
        <f>1559593.01+11532959.4</f>
        <v>13092552.41</v>
      </c>
      <c r="R1331" s="18"/>
      <c r="S1331" s="18"/>
    </row>
    <row r="1332" spans="1:19" x14ac:dyDescent="0.25">
      <c r="A1332" s="9" t="s">
        <v>707</v>
      </c>
      <c r="B1332" s="17" t="s">
        <v>1920</v>
      </c>
      <c r="C1332" s="18">
        <f>ROUNDUP(SUM(D1332+E1332+F1332+G1332+H1332+I1332+J1332+K1332+M1332+O1332+P1332+Q1332+R1332+S1332),2)</f>
        <v>26886753.789999999</v>
      </c>
      <c r="D1332" s="18"/>
      <c r="E1332" s="18"/>
      <c r="F1332" s="18"/>
      <c r="G1332" s="18"/>
      <c r="H1332" s="18"/>
      <c r="I1332" s="18"/>
      <c r="J1332" s="18"/>
      <c r="K1332" s="18"/>
      <c r="L1332" s="10"/>
      <c r="M1332" s="18"/>
      <c r="N1332" s="10"/>
      <c r="O1332" s="18"/>
      <c r="P1332" s="18"/>
      <c r="Q1332" s="18"/>
      <c r="R1332" s="18">
        <f>24178099.46+2708654.33</f>
        <v>26886753.789999999</v>
      </c>
      <c r="S1332" s="18"/>
    </row>
    <row r="1333" spans="1:19" x14ac:dyDescent="0.25">
      <c r="A1333" s="9" t="s">
        <v>709</v>
      </c>
      <c r="B1333" s="17" t="s">
        <v>1183</v>
      </c>
      <c r="C1333" s="18">
        <f t="shared" si="99"/>
        <v>16961083.710000001</v>
      </c>
      <c r="D1333" s="18"/>
      <c r="E1333" s="18"/>
      <c r="F1333" s="18"/>
      <c r="G1333" s="18"/>
      <c r="H1333" s="18"/>
      <c r="I1333" s="18"/>
      <c r="J1333" s="18"/>
      <c r="K1333" s="18"/>
      <c r="L1333" s="10"/>
      <c r="M1333" s="18"/>
      <c r="N1333" s="10" t="s">
        <v>552</v>
      </c>
      <c r="O1333" s="18">
        <v>9581629.2100000009</v>
      </c>
      <c r="P1333" s="18"/>
      <c r="Q1333" s="18">
        <v>7379454.5</v>
      </c>
      <c r="R1333" s="18"/>
      <c r="S1333" s="18"/>
    </row>
    <row r="1334" spans="1:19" x14ac:dyDescent="0.25">
      <c r="A1334" s="9" t="s">
        <v>711</v>
      </c>
      <c r="B1334" s="17" t="s">
        <v>1921</v>
      </c>
      <c r="C1334" s="18">
        <f t="shared" si="99"/>
        <v>6370611.0199999996</v>
      </c>
      <c r="D1334" s="18"/>
      <c r="E1334" s="18"/>
      <c r="F1334" s="18"/>
      <c r="G1334" s="18"/>
      <c r="H1334" s="18"/>
      <c r="I1334" s="18"/>
      <c r="J1334" s="18"/>
      <c r="K1334" s="18"/>
      <c r="L1334" s="10">
        <v>2</v>
      </c>
      <c r="M1334" s="18">
        <v>6370611.0199999996</v>
      </c>
      <c r="N1334" s="10"/>
      <c r="O1334" s="18"/>
      <c r="P1334" s="18"/>
      <c r="Q1334" s="18"/>
      <c r="R1334" s="18"/>
      <c r="S1334" s="18"/>
    </row>
    <row r="1335" spans="1:19" x14ac:dyDescent="0.25">
      <c r="A1335" s="9" t="s">
        <v>713</v>
      </c>
      <c r="B1335" s="17" t="s">
        <v>1197</v>
      </c>
      <c r="C1335" s="18">
        <f t="shared" si="99"/>
        <v>11609307.619999999</v>
      </c>
      <c r="D1335" s="18"/>
      <c r="E1335" s="18"/>
      <c r="F1335" s="18">
        <v>1616958.01</v>
      </c>
      <c r="G1335" s="18"/>
      <c r="H1335" s="18"/>
      <c r="I1335" s="18"/>
      <c r="J1335" s="18"/>
      <c r="K1335" s="18"/>
      <c r="L1335" s="10"/>
      <c r="M1335" s="18"/>
      <c r="N1335" s="10" t="s">
        <v>552</v>
      </c>
      <c r="O1335" s="18">
        <v>4205924.5999999996</v>
      </c>
      <c r="P1335" s="18"/>
      <c r="Q1335" s="18">
        <v>5786425.0099999998</v>
      </c>
      <c r="R1335" s="18"/>
      <c r="S1335" s="18"/>
    </row>
    <row r="1336" spans="1:19" x14ac:dyDescent="0.25">
      <c r="A1336" s="9" t="s">
        <v>715</v>
      </c>
      <c r="B1336" s="17" t="s">
        <v>1201</v>
      </c>
      <c r="C1336" s="18">
        <f t="shared" si="99"/>
        <v>21716355.199999999</v>
      </c>
      <c r="D1336" s="18"/>
      <c r="E1336" s="18"/>
      <c r="F1336" s="18">
        <v>21716355.199999999</v>
      </c>
      <c r="G1336" s="18"/>
      <c r="H1336" s="18"/>
      <c r="I1336" s="18"/>
      <c r="J1336" s="18"/>
      <c r="K1336" s="18"/>
      <c r="L1336" s="10"/>
      <c r="M1336" s="18"/>
      <c r="N1336" s="10"/>
      <c r="O1336" s="18"/>
      <c r="P1336" s="18"/>
      <c r="Q1336" s="18"/>
      <c r="R1336" s="18"/>
      <c r="S1336" s="18"/>
    </row>
    <row r="1337" spans="1:19" x14ac:dyDescent="0.25">
      <c r="A1337" s="9" t="s">
        <v>717</v>
      </c>
      <c r="B1337" s="17" t="s">
        <v>1217</v>
      </c>
      <c r="C1337" s="18">
        <f>ROUNDUP(SUM(D1337+E1337+F1337+G1337+H1337+I1337+J1337+K1337+M1337+O1337+P1337+Q1337+R1337+S1337),2)</f>
        <v>33697993.560000002</v>
      </c>
      <c r="D1337" s="18"/>
      <c r="E1337" s="18"/>
      <c r="F1337" s="18">
        <v>4241289.97</v>
      </c>
      <c r="G1337" s="18"/>
      <c r="H1337" s="18"/>
      <c r="I1337" s="18"/>
      <c r="J1337" s="18"/>
      <c r="K1337" s="18"/>
      <c r="L1337" s="10"/>
      <c r="M1337" s="18"/>
      <c r="N1337" s="10" t="s">
        <v>552</v>
      </c>
      <c r="O1337" s="18">
        <v>15186679.91</v>
      </c>
      <c r="P1337" s="18"/>
      <c r="Q1337" s="18">
        <v>14270023.68</v>
      </c>
      <c r="R1337" s="18"/>
      <c r="S1337" s="18"/>
    </row>
    <row r="1338" spans="1:19" ht="15" customHeight="1" x14ac:dyDescent="0.25">
      <c r="A1338" s="9" t="s">
        <v>719</v>
      </c>
      <c r="B1338" s="17" t="s">
        <v>1221</v>
      </c>
      <c r="C1338" s="18">
        <f t="shared" si="99"/>
        <v>20874977.68</v>
      </c>
      <c r="D1338" s="18"/>
      <c r="E1338" s="18"/>
      <c r="F1338" s="18">
        <v>2889281.32</v>
      </c>
      <c r="G1338" s="18"/>
      <c r="H1338" s="18"/>
      <c r="I1338" s="18"/>
      <c r="J1338" s="18"/>
      <c r="K1338" s="18"/>
      <c r="L1338" s="10"/>
      <c r="M1338" s="18"/>
      <c r="N1338" s="10" t="s">
        <v>552</v>
      </c>
      <c r="O1338" s="18">
        <v>9330001.4499999993</v>
      </c>
      <c r="P1338" s="18"/>
      <c r="Q1338" s="18">
        <v>8655694.9100000001</v>
      </c>
      <c r="R1338" s="18"/>
      <c r="S1338" s="18"/>
    </row>
    <row r="1339" spans="1:19" ht="15" customHeight="1" x14ac:dyDescent="0.25">
      <c r="A1339" s="9" t="s">
        <v>721</v>
      </c>
      <c r="B1339" s="17" t="s">
        <v>1922</v>
      </c>
      <c r="C1339" s="18">
        <f t="shared" si="99"/>
        <v>34242039.130000003</v>
      </c>
      <c r="D1339" s="18"/>
      <c r="E1339" s="18"/>
      <c r="F1339" s="18"/>
      <c r="G1339" s="18"/>
      <c r="H1339" s="18"/>
      <c r="I1339" s="18"/>
      <c r="J1339" s="18"/>
      <c r="K1339" s="18"/>
      <c r="L1339" s="10"/>
      <c r="M1339" s="18"/>
      <c r="N1339" s="10"/>
      <c r="O1339" s="18"/>
      <c r="P1339" s="18"/>
      <c r="Q1339" s="18"/>
      <c r="R1339" s="18">
        <v>34242039.130000003</v>
      </c>
      <c r="S1339" s="18"/>
    </row>
    <row r="1340" spans="1:19" x14ac:dyDescent="0.25">
      <c r="A1340" s="9" t="s">
        <v>723</v>
      </c>
      <c r="B1340" s="17" t="s">
        <v>1241</v>
      </c>
      <c r="C1340" s="18">
        <f>ROUNDUP(SUM(D1340+E1340+F1340+G1340+H1340+I1340+J1340+K1340+M1340+O1340+P1340+Q1340+R1340+S1340),2)</f>
        <v>23449426.84</v>
      </c>
      <c r="D1340" s="18"/>
      <c r="E1340" s="18"/>
      <c r="F1340" s="18">
        <v>3321125.48</v>
      </c>
      <c r="G1340" s="18">
        <v>4702742.16</v>
      </c>
      <c r="H1340" s="18">
        <v>1357071.19</v>
      </c>
      <c r="I1340" s="18">
        <v>745858.63</v>
      </c>
      <c r="J1340" s="18">
        <v>1596694.31</v>
      </c>
      <c r="K1340" s="18"/>
      <c r="L1340" s="10"/>
      <c r="M1340" s="18"/>
      <c r="N1340" s="10" t="s">
        <v>552</v>
      </c>
      <c r="O1340" s="18">
        <v>11725935.07</v>
      </c>
      <c r="P1340" s="18"/>
      <c r="Q1340" s="18"/>
      <c r="R1340" s="18"/>
      <c r="S1340" s="18"/>
    </row>
    <row r="1341" spans="1:19" x14ac:dyDescent="0.25">
      <c r="A1341" s="9" t="s">
        <v>725</v>
      </c>
      <c r="B1341" s="17" t="s">
        <v>1245</v>
      </c>
      <c r="C1341" s="18">
        <f>ROUNDUP(SUM(D1341+E1341+F1341+G1341+H1341+I1341+J1341+K1341+M1341+O1341+P1341+Q1341+R1341+S1341),2)</f>
        <v>49916223.350000001</v>
      </c>
      <c r="D1341" s="18"/>
      <c r="E1341" s="18"/>
      <c r="F1341" s="18"/>
      <c r="G1341" s="18"/>
      <c r="H1341" s="18"/>
      <c r="I1341" s="18"/>
      <c r="J1341" s="18"/>
      <c r="K1341" s="18"/>
      <c r="L1341" s="10"/>
      <c r="M1341" s="18"/>
      <c r="N1341" s="10" t="s">
        <v>552</v>
      </c>
      <c r="O1341" s="18">
        <v>25269886.780000001</v>
      </c>
      <c r="P1341" s="18"/>
      <c r="Q1341" s="18">
        <f>18263621.9+6382714.67</f>
        <v>24646336.57</v>
      </c>
      <c r="R1341" s="18"/>
      <c r="S1341" s="18"/>
    </row>
    <row r="1342" spans="1:19" x14ac:dyDescent="0.25">
      <c r="A1342" s="9" t="s">
        <v>727</v>
      </c>
      <c r="B1342" s="17" t="s">
        <v>1257</v>
      </c>
      <c r="C1342" s="18">
        <f>ROUNDUP(SUM(D1342+E1342+F1342+G1342+H1342+I1342+J1342+K1342+M1342+O1342+P1342+Q1342+R1342+S1342),2)</f>
        <v>29625304.210000001</v>
      </c>
      <c r="D1342" s="18"/>
      <c r="E1342" s="18">
        <v>191683.37</v>
      </c>
      <c r="F1342" s="18"/>
      <c r="G1342" s="18"/>
      <c r="H1342" s="18">
        <v>2308938.35</v>
      </c>
      <c r="I1342" s="18">
        <v>1289839.9099999999</v>
      </c>
      <c r="J1342" s="18">
        <v>2204283.7599999998</v>
      </c>
      <c r="K1342" s="18"/>
      <c r="L1342" s="10"/>
      <c r="M1342" s="18"/>
      <c r="N1342" s="10" t="s">
        <v>552</v>
      </c>
      <c r="O1342" s="18">
        <v>23630558.82</v>
      </c>
      <c r="P1342" s="18"/>
      <c r="Q1342" s="18"/>
      <c r="R1342" s="18"/>
      <c r="S1342" s="18"/>
    </row>
    <row r="1343" spans="1:19" x14ac:dyDescent="0.25">
      <c r="A1343" s="9" t="s">
        <v>729</v>
      </c>
      <c r="B1343" s="17" t="s">
        <v>1259</v>
      </c>
      <c r="C1343" s="18">
        <f>ROUNDUP(SUM(D1343+E1343+F1343+G1343+H1343+I1343+J1343+K1343+M1343+O1343+P1343+Q1343+R1343+S1343),2)</f>
        <v>13018429.34</v>
      </c>
      <c r="D1343" s="18"/>
      <c r="E1343" s="18"/>
      <c r="F1343" s="18">
        <v>3587505.38</v>
      </c>
      <c r="G1343" s="18">
        <v>5176057.24</v>
      </c>
      <c r="H1343" s="18">
        <v>1499093.85</v>
      </c>
      <c r="I1343" s="18">
        <v>1293262.1299999999</v>
      </c>
      <c r="J1343" s="18">
        <v>1462510.74</v>
      </c>
      <c r="K1343" s="18"/>
      <c r="L1343" s="10"/>
      <c r="M1343" s="18"/>
      <c r="N1343" s="10"/>
      <c r="O1343" s="18"/>
      <c r="P1343" s="18"/>
      <c r="Q1343" s="18"/>
      <c r="R1343" s="18"/>
      <c r="S1343" s="18"/>
    </row>
    <row r="1344" spans="1:19" x14ac:dyDescent="0.25">
      <c r="A1344" s="9" t="s">
        <v>731</v>
      </c>
      <c r="B1344" s="17" t="s">
        <v>1267</v>
      </c>
      <c r="C1344" s="18">
        <f t="shared" si="99"/>
        <v>26300065.100000001</v>
      </c>
      <c r="D1344" s="18"/>
      <c r="E1344" s="18"/>
      <c r="F1344" s="18"/>
      <c r="G1344" s="18"/>
      <c r="H1344" s="18"/>
      <c r="I1344" s="18"/>
      <c r="J1344" s="18"/>
      <c r="K1344" s="18"/>
      <c r="L1344" s="10"/>
      <c r="M1344" s="18"/>
      <c r="N1344" s="10" t="s">
        <v>552</v>
      </c>
      <c r="O1344" s="18">
        <v>10569380.48</v>
      </c>
      <c r="P1344" s="18"/>
      <c r="Q1344" s="18">
        <f>13899595.62+1831089</f>
        <v>15730684.619999999</v>
      </c>
      <c r="R1344" s="18"/>
      <c r="S1344" s="18"/>
    </row>
    <row r="1345" spans="1:19" x14ac:dyDescent="0.25">
      <c r="A1345" s="9" t="s">
        <v>733</v>
      </c>
      <c r="B1345" s="17" t="s">
        <v>1269</v>
      </c>
      <c r="C1345" s="18">
        <f t="shared" si="99"/>
        <v>9513184.5899999999</v>
      </c>
      <c r="D1345" s="18"/>
      <c r="E1345" s="18"/>
      <c r="F1345" s="18">
        <v>2431476.87</v>
      </c>
      <c r="G1345" s="18">
        <v>3407113.33</v>
      </c>
      <c r="H1345" s="18">
        <v>1743251.01</v>
      </c>
      <c r="I1345" s="18">
        <v>740117.42</v>
      </c>
      <c r="J1345" s="18">
        <v>1191225.96</v>
      </c>
      <c r="K1345" s="18"/>
      <c r="L1345" s="10"/>
      <c r="M1345" s="18"/>
      <c r="N1345" s="10"/>
      <c r="O1345" s="18"/>
      <c r="P1345" s="18"/>
      <c r="Q1345" s="18"/>
      <c r="R1345" s="18"/>
      <c r="S1345" s="18"/>
    </row>
    <row r="1346" spans="1:19" x14ac:dyDescent="0.25">
      <c r="A1346" s="9" t="s">
        <v>735</v>
      </c>
      <c r="B1346" s="17" t="s">
        <v>1271</v>
      </c>
      <c r="C1346" s="18">
        <f t="shared" ref="C1346:C1377" si="100">ROUNDUP(SUM(D1346+E1346+F1346+G1346+H1346+I1346+J1346+K1346+M1346+O1346+P1346+Q1346+R1346+S1346),2)</f>
        <v>9493271.0700000003</v>
      </c>
      <c r="D1346" s="18"/>
      <c r="E1346" s="18"/>
      <c r="F1346" s="18">
        <v>2513574.29</v>
      </c>
      <c r="G1346" s="18">
        <v>3312370.69</v>
      </c>
      <c r="H1346" s="18">
        <v>1730868.84</v>
      </c>
      <c r="I1346" s="18">
        <v>740076.53</v>
      </c>
      <c r="J1346" s="18">
        <v>1196380.72</v>
      </c>
      <c r="K1346" s="18"/>
      <c r="L1346" s="10"/>
      <c r="M1346" s="18"/>
      <c r="N1346" s="10"/>
      <c r="O1346" s="18"/>
      <c r="P1346" s="18"/>
      <c r="Q1346" s="18"/>
      <c r="R1346" s="18"/>
      <c r="S1346" s="18"/>
    </row>
    <row r="1347" spans="1:19" x14ac:dyDescent="0.25">
      <c r="A1347" s="9" t="s">
        <v>737</v>
      </c>
      <c r="B1347" s="17" t="s">
        <v>1247</v>
      </c>
      <c r="C1347" s="18">
        <f>ROUNDUP(SUM(D1347+E1347+F1347+G1347+H1347+I1347+J1347+K1347+M1347+O1347+P1347+Q1347+R1347+S1347),2)</f>
        <v>4841635.0999999996</v>
      </c>
      <c r="D1347" s="18"/>
      <c r="E1347" s="18"/>
      <c r="F1347" s="18"/>
      <c r="G1347" s="18"/>
      <c r="H1347" s="18">
        <v>1811020.56</v>
      </c>
      <c r="I1347" s="18">
        <v>945807.39</v>
      </c>
      <c r="J1347" s="18">
        <v>2084807.15</v>
      </c>
      <c r="K1347" s="18"/>
      <c r="L1347" s="10"/>
      <c r="M1347" s="18"/>
      <c r="N1347" s="10"/>
      <c r="O1347" s="18"/>
      <c r="P1347" s="18"/>
      <c r="Q1347" s="18"/>
      <c r="R1347" s="18"/>
      <c r="S1347" s="18"/>
    </row>
    <row r="1348" spans="1:19" x14ac:dyDescent="0.25">
      <c r="A1348" s="9" t="s">
        <v>739</v>
      </c>
      <c r="B1348" s="17" t="s">
        <v>1249</v>
      </c>
      <c r="C1348" s="18">
        <f t="shared" si="100"/>
        <v>1434162.32</v>
      </c>
      <c r="D1348" s="18"/>
      <c r="E1348" s="18"/>
      <c r="F1348" s="18"/>
      <c r="G1348" s="18"/>
      <c r="H1348" s="18">
        <v>717837.97</v>
      </c>
      <c r="I1348" s="18">
        <v>230417.25</v>
      </c>
      <c r="J1348" s="18">
        <v>485907.1</v>
      </c>
      <c r="K1348" s="18"/>
      <c r="L1348" s="10"/>
      <c r="M1348" s="18"/>
      <c r="N1348" s="10"/>
      <c r="O1348" s="18"/>
      <c r="P1348" s="18"/>
      <c r="Q1348" s="18"/>
      <c r="R1348" s="18"/>
      <c r="S1348" s="18"/>
    </row>
    <row r="1349" spans="1:19" x14ac:dyDescent="0.25">
      <c r="A1349" s="9" t="s">
        <v>741</v>
      </c>
      <c r="B1349" s="17" t="s">
        <v>1253</v>
      </c>
      <c r="C1349" s="18">
        <f t="shared" si="100"/>
        <v>6623328.8200000003</v>
      </c>
      <c r="D1349" s="18"/>
      <c r="E1349" s="18"/>
      <c r="F1349" s="18"/>
      <c r="G1349" s="18">
        <v>6623328.8200000003</v>
      </c>
      <c r="H1349" s="18"/>
      <c r="I1349" s="18"/>
      <c r="J1349" s="18"/>
      <c r="K1349" s="18"/>
      <c r="L1349" s="10"/>
      <c r="M1349" s="18"/>
      <c r="N1349" s="10"/>
      <c r="O1349" s="18"/>
      <c r="P1349" s="18"/>
      <c r="Q1349" s="18"/>
      <c r="R1349" s="18"/>
      <c r="S1349" s="18"/>
    </row>
    <row r="1350" spans="1:19" x14ac:dyDescent="0.25">
      <c r="A1350" s="9" t="s">
        <v>743</v>
      </c>
      <c r="B1350" s="17" t="s">
        <v>1277</v>
      </c>
      <c r="C1350" s="18">
        <f t="shared" si="100"/>
        <v>22672289.350000001</v>
      </c>
      <c r="D1350" s="18"/>
      <c r="E1350" s="18"/>
      <c r="F1350" s="18"/>
      <c r="G1350" s="18">
        <v>3726461.04</v>
      </c>
      <c r="H1350" s="18">
        <v>1521765.3</v>
      </c>
      <c r="I1350" s="18">
        <v>750308.08</v>
      </c>
      <c r="J1350" s="18">
        <v>1496076.13</v>
      </c>
      <c r="K1350" s="18"/>
      <c r="L1350" s="10"/>
      <c r="M1350" s="18"/>
      <c r="N1350" s="10" t="s">
        <v>552</v>
      </c>
      <c r="O1350" s="18">
        <v>15177678.800000001</v>
      </c>
      <c r="P1350" s="18"/>
      <c r="Q1350" s="18"/>
      <c r="R1350" s="18"/>
      <c r="S1350" s="18"/>
    </row>
    <row r="1351" spans="1:19" x14ac:dyDescent="0.25">
      <c r="A1351" s="9" t="s">
        <v>745</v>
      </c>
      <c r="B1351" s="17" t="s">
        <v>1285</v>
      </c>
      <c r="C1351" s="18">
        <f t="shared" si="100"/>
        <v>5906829.6100000003</v>
      </c>
      <c r="D1351" s="18"/>
      <c r="E1351" s="18"/>
      <c r="F1351" s="18">
        <v>4809832.1399999997</v>
      </c>
      <c r="G1351" s="18"/>
      <c r="H1351" s="18"/>
      <c r="I1351" s="18"/>
      <c r="J1351" s="18"/>
      <c r="K1351" s="18"/>
      <c r="L1351" s="10"/>
      <c r="M1351" s="18"/>
      <c r="N1351" s="10"/>
      <c r="O1351" s="18"/>
      <c r="P1351" s="18"/>
      <c r="Q1351" s="18">
        <v>1096997.47</v>
      </c>
      <c r="R1351" s="18"/>
      <c r="S1351" s="18"/>
    </row>
    <row r="1352" spans="1:19" x14ac:dyDescent="0.25">
      <c r="A1352" s="9" t="s">
        <v>747</v>
      </c>
      <c r="B1352" s="17" t="s">
        <v>1287</v>
      </c>
      <c r="C1352" s="18">
        <f t="shared" si="100"/>
        <v>53803567.490000002</v>
      </c>
      <c r="D1352" s="18"/>
      <c r="E1352" s="18"/>
      <c r="F1352" s="18">
        <v>7178369.3200000003</v>
      </c>
      <c r="G1352" s="18"/>
      <c r="H1352" s="18"/>
      <c r="I1352" s="18"/>
      <c r="J1352" s="18"/>
      <c r="K1352" s="18"/>
      <c r="L1352" s="10"/>
      <c r="M1352" s="18"/>
      <c r="N1352" s="10" t="s">
        <v>552</v>
      </c>
      <c r="O1352" s="18">
        <v>23002426.489999998</v>
      </c>
      <c r="P1352" s="18"/>
      <c r="Q1352" s="18">
        <v>23622771.68</v>
      </c>
      <c r="R1352" s="18"/>
      <c r="S1352" s="18"/>
    </row>
    <row r="1353" spans="1:19" x14ac:dyDescent="0.25">
      <c r="A1353" s="9" t="s">
        <v>749</v>
      </c>
      <c r="B1353" s="17" t="s">
        <v>1289</v>
      </c>
      <c r="C1353" s="18">
        <f t="shared" si="100"/>
        <v>20357837.719999999</v>
      </c>
      <c r="D1353" s="18"/>
      <c r="E1353" s="18"/>
      <c r="F1353" s="18">
        <v>20357837.719999999</v>
      </c>
      <c r="G1353" s="18"/>
      <c r="H1353" s="18"/>
      <c r="I1353" s="18"/>
      <c r="J1353" s="18"/>
      <c r="K1353" s="18"/>
      <c r="L1353" s="10"/>
      <c r="M1353" s="18"/>
      <c r="N1353" s="21"/>
      <c r="P1353" s="18"/>
      <c r="Q1353" s="21"/>
      <c r="R1353" s="18"/>
      <c r="S1353" s="18"/>
    </row>
    <row r="1354" spans="1:19" x14ac:dyDescent="0.25">
      <c r="A1354" s="9" t="s">
        <v>751</v>
      </c>
      <c r="B1354" s="17" t="s">
        <v>1291</v>
      </c>
      <c r="C1354" s="18">
        <f>ROUNDUP(SUM(D1354+E1354+F1354+G1354+H1354+I1354+J1354+K1354+M1354+O1354+P1354+Q1354+R1354+S1354),2)</f>
        <v>193606.48</v>
      </c>
      <c r="D1354" s="18"/>
      <c r="E1354" s="18">
        <v>193606.48</v>
      </c>
      <c r="F1354" s="18"/>
      <c r="G1354" s="18"/>
      <c r="H1354" s="18"/>
      <c r="I1354" s="18"/>
      <c r="J1354" s="18"/>
      <c r="K1354" s="18"/>
      <c r="L1354" s="10"/>
      <c r="M1354" s="18"/>
      <c r="N1354" s="10"/>
      <c r="O1354" s="18"/>
      <c r="P1354" s="18"/>
      <c r="Q1354" s="18"/>
      <c r="R1354" s="18"/>
      <c r="S1354" s="18"/>
    </row>
    <row r="1355" spans="1:19" x14ac:dyDescent="0.25">
      <c r="A1355" s="9" t="s">
        <v>753</v>
      </c>
      <c r="B1355" s="17" t="s">
        <v>1305</v>
      </c>
      <c r="C1355" s="18">
        <f>ROUNDUP(SUM(D1355+E1355+F1355+G1355+H1355+I1355+J1355+K1355+M1355+O1355+P1355+Q1355+R1355+S1355),2)</f>
        <v>16867036.41</v>
      </c>
      <c r="D1355" s="18"/>
      <c r="E1355" s="18"/>
      <c r="F1355" s="18"/>
      <c r="G1355" s="18">
        <v>6957271.5099999998</v>
      </c>
      <c r="H1355" s="18">
        <v>4881318.84</v>
      </c>
      <c r="I1355" s="18">
        <v>2289082.27</v>
      </c>
      <c r="J1355" s="18">
        <v>2739363.79</v>
      </c>
      <c r="K1355" s="18"/>
      <c r="L1355" s="10"/>
      <c r="M1355" s="18"/>
      <c r="N1355" s="10"/>
      <c r="O1355" s="18"/>
      <c r="P1355" s="18"/>
      <c r="Q1355" s="18"/>
      <c r="R1355" s="18"/>
      <c r="S1355" s="18"/>
    </row>
    <row r="1356" spans="1:19" ht="15" customHeight="1" x14ac:dyDescent="0.25">
      <c r="A1356" s="9" t="s">
        <v>755</v>
      </c>
      <c r="B1356" s="17" t="s">
        <v>1319</v>
      </c>
      <c r="C1356" s="18">
        <f t="shared" si="100"/>
        <v>7531692.6699999999</v>
      </c>
      <c r="D1356" s="18"/>
      <c r="E1356" s="18"/>
      <c r="F1356" s="18"/>
      <c r="G1356" s="18"/>
      <c r="H1356" s="18"/>
      <c r="I1356" s="18"/>
      <c r="J1356" s="18"/>
      <c r="K1356" s="18"/>
      <c r="L1356" s="10"/>
      <c r="M1356" s="18"/>
      <c r="N1356" s="10" t="s">
        <v>552</v>
      </c>
      <c r="O1356" s="18">
        <v>7531692.6699999999</v>
      </c>
      <c r="P1356" s="18"/>
      <c r="Q1356" s="18"/>
      <c r="R1356" s="18"/>
      <c r="S1356" s="18"/>
    </row>
    <row r="1357" spans="1:19" ht="15" customHeight="1" x14ac:dyDescent="0.25">
      <c r="A1357" s="9" t="s">
        <v>757</v>
      </c>
      <c r="B1357" s="17" t="s">
        <v>1321</v>
      </c>
      <c r="C1357" s="18">
        <f t="shared" si="100"/>
        <v>8639828.1099999994</v>
      </c>
      <c r="D1357" s="18"/>
      <c r="E1357" s="18"/>
      <c r="F1357" s="18"/>
      <c r="G1357" s="18"/>
      <c r="H1357" s="18"/>
      <c r="I1357" s="18"/>
      <c r="J1357" s="18"/>
      <c r="K1357" s="18"/>
      <c r="L1357" s="10"/>
      <c r="M1357" s="18"/>
      <c r="N1357" s="10" t="s">
        <v>552</v>
      </c>
      <c r="O1357" s="18">
        <v>8639828.1099999994</v>
      </c>
      <c r="P1357" s="18"/>
      <c r="Q1357" s="18"/>
      <c r="R1357" s="18"/>
      <c r="S1357" s="18"/>
    </row>
    <row r="1358" spans="1:19" x14ac:dyDescent="0.25">
      <c r="A1358" s="9" t="s">
        <v>761</v>
      </c>
      <c r="B1358" s="17" t="s">
        <v>1923</v>
      </c>
      <c r="C1358" s="18">
        <f t="shared" si="100"/>
        <v>149626.92000000001</v>
      </c>
      <c r="D1358" s="18"/>
      <c r="E1358" s="18">
        <v>149626.92000000001</v>
      </c>
      <c r="F1358" s="18"/>
      <c r="G1358" s="18"/>
      <c r="H1358" s="18"/>
      <c r="I1358" s="18"/>
      <c r="J1358" s="18"/>
      <c r="K1358" s="18"/>
      <c r="L1358" s="10"/>
      <c r="M1358" s="18"/>
      <c r="N1358" s="10"/>
      <c r="O1358" s="18"/>
      <c r="P1358" s="18"/>
      <c r="Q1358" s="18"/>
      <c r="R1358" s="18"/>
      <c r="S1358" s="18"/>
    </row>
    <row r="1359" spans="1:19" x14ac:dyDescent="0.25">
      <c r="A1359" s="9" t="s">
        <v>763</v>
      </c>
      <c r="B1359" s="17" t="s">
        <v>1337</v>
      </c>
      <c r="C1359" s="18">
        <f t="shared" si="100"/>
        <v>7670454.7400000002</v>
      </c>
      <c r="D1359" s="18"/>
      <c r="E1359" s="18"/>
      <c r="F1359" s="18"/>
      <c r="G1359" s="18"/>
      <c r="H1359" s="18"/>
      <c r="I1359" s="18"/>
      <c r="J1359" s="18"/>
      <c r="K1359" s="18"/>
      <c r="L1359" s="10"/>
      <c r="M1359" s="18"/>
      <c r="N1359" s="10" t="s">
        <v>552</v>
      </c>
      <c r="O1359" s="18">
        <v>7670454.7400000002</v>
      </c>
      <c r="P1359" s="18"/>
      <c r="Q1359" s="18"/>
      <c r="R1359" s="18"/>
      <c r="S1359" s="18"/>
    </row>
    <row r="1360" spans="1:19" x14ac:dyDescent="0.25">
      <c r="A1360" s="9" t="s">
        <v>765</v>
      </c>
      <c r="B1360" s="17" t="s">
        <v>1339</v>
      </c>
      <c r="C1360" s="18">
        <f t="shared" si="100"/>
        <v>15367300.300000001</v>
      </c>
      <c r="D1360" s="18"/>
      <c r="E1360" s="18"/>
      <c r="F1360" s="18"/>
      <c r="G1360" s="18"/>
      <c r="H1360" s="18"/>
      <c r="I1360" s="18"/>
      <c r="J1360" s="18"/>
      <c r="K1360" s="18"/>
      <c r="L1360" s="10"/>
      <c r="M1360" s="18"/>
      <c r="N1360" s="10" t="s">
        <v>552</v>
      </c>
      <c r="O1360" s="18">
        <v>15367300.300000001</v>
      </c>
      <c r="P1360" s="18"/>
      <c r="Q1360" s="18"/>
      <c r="R1360" s="18"/>
      <c r="S1360" s="18"/>
    </row>
    <row r="1361" spans="1:19" x14ac:dyDescent="0.25">
      <c r="A1361" s="9" t="s">
        <v>767</v>
      </c>
      <c r="B1361" s="17" t="s">
        <v>1343</v>
      </c>
      <c r="C1361" s="18">
        <f t="shared" si="100"/>
        <v>22958703.77</v>
      </c>
      <c r="D1361" s="18"/>
      <c r="E1361" s="18"/>
      <c r="F1361" s="18"/>
      <c r="G1361" s="18"/>
      <c r="H1361" s="18"/>
      <c r="I1361" s="18"/>
      <c r="J1361" s="18"/>
      <c r="K1361" s="18"/>
      <c r="L1361" s="10"/>
      <c r="M1361" s="18"/>
      <c r="N1361" s="10"/>
      <c r="O1361" s="18"/>
      <c r="P1361" s="18"/>
      <c r="Q1361" s="18"/>
      <c r="R1361" s="18">
        <v>22958703.77</v>
      </c>
      <c r="S1361" s="18"/>
    </row>
    <row r="1362" spans="1:19" x14ac:dyDescent="0.25">
      <c r="A1362" s="9" t="s">
        <v>769</v>
      </c>
      <c r="B1362" s="17" t="s">
        <v>1349</v>
      </c>
      <c r="C1362" s="18">
        <f t="shared" si="100"/>
        <v>2944388.31</v>
      </c>
      <c r="D1362" s="18">
        <f>664.94+25707.6</f>
        <v>26372.539999999997</v>
      </c>
      <c r="E1362" s="18"/>
      <c r="F1362" s="18"/>
      <c r="G1362" s="18">
        <f>38885.28+1503368.23+1375762.26</f>
        <v>2918015.77</v>
      </c>
      <c r="H1362" s="18"/>
      <c r="I1362" s="18"/>
      <c r="J1362" s="18"/>
      <c r="K1362" s="18"/>
      <c r="L1362" s="10"/>
      <c r="M1362" s="18"/>
      <c r="N1362" s="10"/>
      <c r="O1362" s="18"/>
      <c r="P1362" s="18"/>
      <c r="Q1362" s="18"/>
      <c r="R1362" s="18"/>
      <c r="S1362" s="18"/>
    </row>
    <row r="1363" spans="1:19" x14ac:dyDescent="0.25">
      <c r="A1363" s="9" t="s">
        <v>771</v>
      </c>
      <c r="B1363" s="17" t="s">
        <v>1924</v>
      </c>
      <c r="C1363" s="18">
        <f t="shared" si="100"/>
        <v>8675000</v>
      </c>
      <c r="D1363" s="18">
        <v>180000</v>
      </c>
      <c r="E1363" s="18">
        <v>326730.77</v>
      </c>
      <c r="F1363" s="18"/>
      <c r="G1363" s="18"/>
      <c r="H1363" s="18"/>
      <c r="I1363" s="18"/>
      <c r="J1363" s="18"/>
      <c r="K1363" s="18"/>
      <c r="L1363" s="10">
        <v>2</v>
      </c>
      <c r="M1363" s="18">
        <v>8168269.2300000004</v>
      </c>
      <c r="N1363" s="10"/>
      <c r="O1363" s="18"/>
      <c r="P1363" s="18"/>
      <c r="Q1363" s="18"/>
      <c r="R1363" s="18"/>
      <c r="S1363" s="18"/>
    </row>
    <row r="1364" spans="1:19" x14ac:dyDescent="0.25">
      <c r="A1364" s="9" t="s">
        <v>773</v>
      </c>
      <c r="B1364" s="17" t="s">
        <v>1377</v>
      </c>
      <c r="C1364" s="18">
        <f t="shared" si="100"/>
        <v>3322499.66</v>
      </c>
      <c r="D1364" s="18"/>
      <c r="E1364" s="18"/>
      <c r="F1364" s="18"/>
      <c r="G1364" s="18"/>
      <c r="H1364" s="18"/>
      <c r="I1364" s="18"/>
      <c r="J1364" s="18"/>
      <c r="K1364" s="18"/>
      <c r="L1364" s="10"/>
      <c r="M1364" s="18"/>
      <c r="N1364" s="10"/>
      <c r="O1364" s="18"/>
      <c r="P1364" s="18"/>
      <c r="Q1364" s="18">
        <v>3322499.66</v>
      </c>
      <c r="R1364" s="18"/>
      <c r="S1364" s="18"/>
    </row>
    <row r="1365" spans="1:19" x14ac:dyDescent="0.25">
      <c r="A1365" s="9" t="s">
        <v>775</v>
      </c>
      <c r="B1365" s="17" t="s">
        <v>1355</v>
      </c>
      <c r="C1365" s="18">
        <f t="shared" si="100"/>
        <v>62963546.57</v>
      </c>
      <c r="D1365" s="18"/>
      <c r="E1365" s="18"/>
      <c r="F1365" s="18">
        <v>6802533.9299999997</v>
      </c>
      <c r="G1365" s="18"/>
      <c r="H1365" s="18"/>
      <c r="I1365" s="18"/>
      <c r="J1365" s="18"/>
      <c r="K1365" s="18"/>
      <c r="L1365" s="10"/>
      <c r="M1365" s="18"/>
      <c r="N1365" s="10" t="s">
        <v>552</v>
      </c>
      <c r="O1365" s="18">
        <v>22608518.859999999</v>
      </c>
      <c r="P1365" s="18">
        <v>9049601.9499999993</v>
      </c>
      <c r="Q1365" s="18">
        <v>24502891.829999998</v>
      </c>
      <c r="R1365" s="18"/>
      <c r="S1365" s="18"/>
    </row>
    <row r="1366" spans="1:19" x14ac:dyDescent="0.25">
      <c r="A1366" s="9" t="s">
        <v>777</v>
      </c>
      <c r="B1366" s="17" t="s">
        <v>1357</v>
      </c>
      <c r="C1366" s="18">
        <f t="shared" si="100"/>
        <v>40473322.530000001</v>
      </c>
      <c r="D1366" s="18"/>
      <c r="E1366" s="18"/>
      <c r="F1366" s="18">
        <v>3521991.92</v>
      </c>
      <c r="G1366" s="18"/>
      <c r="H1366" s="18"/>
      <c r="I1366" s="18"/>
      <c r="J1366" s="18"/>
      <c r="K1366" s="18"/>
      <c r="L1366" s="10"/>
      <c r="M1366" s="18"/>
      <c r="N1366" s="10" t="s">
        <v>552</v>
      </c>
      <c r="O1366" s="18">
        <v>20085730.32</v>
      </c>
      <c r="P1366" s="18"/>
      <c r="Q1366" s="18">
        <f>2419594.15+14446006.14</f>
        <v>16865600.289999999</v>
      </c>
      <c r="R1366" s="18"/>
      <c r="S1366" s="18"/>
    </row>
    <row r="1367" spans="1:19" x14ac:dyDescent="0.25">
      <c r="A1367" s="9" t="s">
        <v>779</v>
      </c>
      <c r="B1367" s="17" t="s">
        <v>1365</v>
      </c>
      <c r="C1367" s="18">
        <f t="shared" si="100"/>
        <v>51364406.439999998</v>
      </c>
      <c r="D1367" s="18"/>
      <c r="E1367" s="18"/>
      <c r="F1367" s="18">
        <v>5412524.8700000001</v>
      </c>
      <c r="G1367" s="18"/>
      <c r="H1367" s="18"/>
      <c r="I1367" s="18"/>
      <c r="J1367" s="18"/>
      <c r="K1367" s="18"/>
      <c r="L1367" s="10"/>
      <c r="M1367" s="18"/>
      <c r="N1367" s="10" t="s">
        <v>552</v>
      </c>
      <c r="O1367" s="18">
        <v>20194057.809999999</v>
      </c>
      <c r="P1367" s="18"/>
      <c r="Q1367" s="18">
        <v>25757823.760000002</v>
      </c>
      <c r="R1367" s="18"/>
      <c r="S1367" s="18"/>
    </row>
    <row r="1368" spans="1:19" ht="15" customHeight="1" x14ac:dyDescent="0.25">
      <c r="A1368" s="9" t="s">
        <v>781</v>
      </c>
      <c r="B1368" s="17" t="s">
        <v>1925</v>
      </c>
      <c r="C1368" s="18">
        <f t="shared" si="100"/>
        <v>2124144.6800000002</v>
      </c>
      <c r="D1368" s="18">
        <v>11072.5</v>
      </c>
      <c r="E1368" s="18"/>
      <c r="F1368" s="18"/>
      <c r="G1368" s="18">
        <v>2113072.1800000002</v>
      </c>
      <c r="H1368" s="18"/>
      <c r="I1368" s="18"/>
      <c r="J1368" s="18"/>
      <c r="K1368" s="18"/>
      <c r="L1368" s="10"/>
      <c r="M1368" s="18"/>
      <c r="N1368" s="10"/>
      <c r="O1368" s="18"/>
      <c r="P1368" s="18"/>
      <c r="Q1368" s="18"/>
      <c r="R1368" s="18"/>
      <c r="S1368" s="18"/>
    </row>
    <row r="1369" spans="1:19" ht="15" customHeight="1" x14ac:dyDescent="0.25">
      <c r="A1369" s="9" t="s">
        <v>783</v>
      </c>
      <c r="B1369" s="17" t="s">
        <v>1379</v>
      </c>
      <c r="C1369" s="18">
        <f t="shared" si="100"/>
        <v>38205945.719999999</v>
      </c>
      <c r="D1369" s="18"/>
      <c r="E1369" s="18"/>
      <c r="F1369" s="18">
        <v>5312960.2</v>
      </c>
      <c r="G1369" s="18"/>
      <c r="H1369" s="18"/>
      <c r="I1369" s="18"/>
      <c r="J1369" s="18"/>
      <c r="K1369" s="18"/>
      <c r="L1369" s="10"/>
      <c r="M1369" s="18"/>
      <c r="N1369" s="10" t="s">
        <v>552</v>
      </c>
      <c r="O1369" s="18">
        <v>14137735.060000001</v>
      </c>
      <c r="P1369" s="18"/>
      <c r="Q1369" s="18">
        <v>18755250.460000001</v>
      </c>
      <c r="R1369" s="18"/>
      <c r="S1369" s="18"/>
    </row>
    <row r="1370" spans="1:19" x14ac:dyDescent="0.25">
      <c r="A1370" s="9" t="s">
        <v>785</v>
      </c>
      <c r="B1370" s="17" t="s">
        <v>1381</v>
      </c>
      <c r="C1370" s="18">
        <f t="shared" si="100"/>
        <v>44953257.420000002</v>
      </c>
      <c r="D1370" s="18"/>
      <c r="E1370" s="18"/>
      <c r="F1370" s="18">
        <v>5214132.47</v>
      </c>
      <c r="G1370" s="18"/>
      <c r="H1370" s="18"/>
      <c r="I1370" s="18"/>
      <c r="J1370" s="18"/>
      <c r="K1370" s="18"/>
      <c r="L1370" s="10"/>
      <c r="M1370" s="18"/>
      <c r="N1370" s="10" t="s">
        <v>552</v>
      </c>
      <c r="O1370" s="18">
        <v>21392348.449999999</v>
      </c>
      <c r="P1370" s="18"/>
      <c r="Q1370" s="18">
        <v>18346776.5</v>
      </c>
      <c r="R1370" s="18"/>
      <c r="S1370" s="18"/>
    </row>
    <row r="1371" spans="1:19" x14ac:dyDescent="0.25">
      <c r="A1371" s="9" t="s">
        <v>787</v>
      </c>
      <c r="B1371" s="17" t="s">
        <v>1926</v>
      </c>
      <c r="C1371" s="18">
        <f t="shared" si="100"/>
        <v>133083.24</v>
      </c>
      <c r="D1371" s="18"/>
      <c r="E1371" s="18">
        <v>133083.24</v>
      </c>
      <c r="F1371" s="18"/>
      <c r="G1371" s="18"/>
      <c r="H1371" s="18"/>
      <c r="I1371" s="18"/>
      <c r="J1371" s="18"/>
      <c r="K1371" s="18"/>
      <c r="L1371" s="10"/>
      <c r="M1371" s="18"/>
      <c r="N1371" s="10"/>
      <c r="O1371" s="18"/>
      <c r="P1371" s="18"/>
      <c r="Q1371" s="18"/>
      <c r="R1371" s="18"/>
      <c r="S1371" s="18"/>
    </row>
    <row r="1372" spans="1:19" x14ac:dyDescent="0.25">
      <c r="A1372" s="9" t="s">
        <v>791</v>
      </c>
      <c r="B1372" s="17" t="s">
        <v>1385</v>
      </c>
      <c r="C1372" s="18">
        <f t="shared" si="100"/>
        <v>9772195.4299999997</v>
      </c>
      <c r="D1372" s="18">
        <v>13862.69</v>
      </c>
      <c r="E1372" s="18"/>
      <c r="F1372" s="18"/>
      <c r="G1372" s="18"/>
      <c r="H1372" s="18"/>
      <c r="I1372" s="18"/>
      <c r="J1372" s="18"/>
      <c r="K1372" s="18"/>
      <c r="L1372" s="10"/>
      <c r="M1372" s="18"/>
      <c r="N1372" s="10"/>
      <c r="O1372" s="18"/>
      <c r="P1372" s="18"/>
      <c r="Q1372" s="18">
        <f>5702124.97+686210.68+3369997.09</f>
        <v>9758332.7399999984</v>
      </c>
      <c r="R1372" s="18"/>
      <c r="S1372" s="18"/>
    </row>
    <row r="1373" spans="1:19" x14ac:dyDescent="0.25">
      <c r="A1373" s="9" t="s">
        <v>793</v>
      </c>
      <c r="B1373" s="17" t="s">
        <v>1393</v>
      </c>
      <c r="C1373" s="18">
        <f t="shared" si="100"/>
        <v>19914483.800000001</v>
      </c>
      <c r="D1373" s="18"/>
      <c r="E1373" s="18"/>
      <c r="F1373" s="18"/>
      <c r="G1373" s="18"/>
      <c r="H1373" s="18"/>
      <c r="I1373" s="18"/>
      <c r="J1373" s="18"/>
      <c r="K1373" s="18"/>
      <c r="L1373" s="10"/>
      <c r="M1373" s="18"/>
      <c r="N1373" s="10" t="s">
        <v>552</v>
      </c>
      <c r="O1373" s="18">
        <v>9904866.0299999993</v>
      </c>
      <c r="P1373" s="18"/>
      <c r="Q1373" s="18">
        <v>10009617.77</v>
      </c>
      <c r="R1373" s="18"/>
      <c r="S1373" s="18"/>
    </row>
    <row r="1374" spans="1:19" x14ac:dyDescent="0.25">
      <c r="A1374" s="9" t="s">
        <v>795</v>
      </c>
      <c r="B1374" s="17" t="s">
        <v>1399</v>
      </c>
      <c r="C1374" s="18">
        <f t="shared" si="100"/>
        <v>17806882.850000001</v>
      </c>
      <c r="D1374" s="18"/>
      <c r="E1374" s="18"/>
      <c r="F1374" s="18"/>
      <c r="G1374" s="18"/>
      <c r="H1374" s="18"/>
      <c r="I1374" s="18"/>
      <c r="J1374" s="18"/>
      <c r="K1374" s="18"/>
      <c r="L1374" s="10"/>
      <c r="M1374" s="18"/>
      <c r="N1374" s="10" t="s">
        <v>552</v>
      </c>
      <c r="O1374" s="18">
        <v>9633819.4000000004</v>
      </c>
      <c r="P1374" s="18"/>
      <c r="Q1374" s="18">
        <v>8173063.4500000002</v>
      </c>
      <c r="R1374" s="18"/>
      <c r="S1374" s="18"/>
    </row>
    <row r="1375" spans="1:19" x14ac:dyDescent="0.25">
      <c r="A1375" s="9" t="s">
        <v>797</v>
      </c>
      <c r="B1375" s="17" t="s">
        <v>1401</v>
      </c>
      <c r="C1375" s="18">
        <f t="shared" si="100"/>
        <v>15530037.57</v>
      </c>
      <c r="D1375" s="18"/>
      <c r="E1375" s="18"/>
      <c r="F1375" s="18"/>
      <c r="G1375" s="18"/>
      <c r="H1375" s="18"/>
      <c r="I1375" s="18"/>
      <c r="J1375" s="18"/>
      <c r="K1375" s="18"/>
      <c r="L1375" s="10"/>
      <c r="M1375" s="18"/>
      <c r="N1375" s="10" t="s">
        <v>552</v>
      </c>
      <c r="O1375" s="18">
        <v>15530037.57</v>
      </c>
      <c r="P1375" s="18"/>
      <c r="Q1375" s="18"/>
      <c r="R1375" s="18"/>
      <c r="S1375" s="18"/>
    </row>
    <row r="1376" spans="1:19" x14ac:dyDescent="0.25">
      <c r="A1376" s="9" t="s">
        <v>799</v>
      </c>
      <c r="B1376" s="17" t="s">
        <v>1405</v>
      </c>
      <c r="C1376" s="18">
        <f t="shared" si="100"/>
        <v>72971697.670000002</v>
      </c>
      <c r="D1376" s="18">
        <f>285918.16+245432.43+356853.45+170857.46+201332.08+141050.59+119737.31</f>
        <v>1521181.4800000002</v>
      </c>
      <c r="E1376" s="18"/>
      <c r="F1376" s="18"/>
      <c r="G1376" s="18"/>
      <c r="H1376" s="18"/>
      <c r="I1376" s="18"/>
      <c r="J1376" s="18"/>
      <c r="K1376" s="18"/>
      <c r="L1376" s="10"/>
      <c r="M1376" s="18"/>
      <c r="N1376" s="10" t="s">
        <v>552</v>
      </c>
      <c r="O1376" s="18">
        <v>31412001.210000001</v>
      </c>
      <c r="P1376" s="18">
        <v>9456650.1500000004</v>
      </c>
      <c r="Q1376" s="18">
        <f>5624110.33+13429692.84+11528061.66</f>
        <v>30581864.830000002</v>
      </c>
      <c r="R1376" s="18"/>
      <c r="S1376" s="18"/>
    </row>
    <row r="1377" spans="1:19" x14ac:dyDescent="0.25">
      <c r="A1377" s="9" t="s">
        <v>801</v>
      </c>
      <c r="B1377" s="17" t="s">
        <v>1407</v>
      </c>
      <c r="C1377" s="18">
        <f t="shared" si="100"/>
        <v>1093970.18</v>
      </c>
      <c r="D1377" s="18"/>
      <c r="E1377" s="18"/>
      <c r="F1377" s="18"/>
      <c r="G1377" s="18"/>
      <c r="H1377" s="18"/>
      <c r="I1377" s="18"/>
      <c r="J1377" s="18">
        <v>1093970.18</v>
      </c>
      <c r="K1377" s="18"/>
      <c r="L1377" s="10"/>
      <c r="M1377" s="18"/>
      <c r="N1377" s="10"/>
      <c r="O1377" s="18"/>
      <c r="P1377" s="18"/>
      <c r="Q1377" s="18"/>
      <c r="R1377" s="18"/>
      <c r="S1377" s="18"/>
    </row>
    <row r="1378" spans="1:19" ht="15" customHeight="1" x14ac:dyDescent="0.25">
      <c r="A1378" s="9" t="s">
        <v>803</v>
      </c>
      <c r="B1378" s="17" t="s">
        <v>1439</v>
      </c>
      <c r="C1378" s="18">
        <f t="shared" ref="C1378:C1386" si="101">ROUNDUP(SUM(D1378+E1378+F1378+G1378+H1378+I1378+J1378+K1378+M1378+O1378+P1378+Q1378+R1378+S1378),2)</f>
        <v>38364224.93</v>
      </c>
      <c r="D1378" s="18"/>
      <c r="E1378" s="18"/>
      <c r="F1378" s="18"/>
      <c r="G1378" s="18"/>
      <c r="H1378" s="18"/>
      <c r="I1378" s="18"/>
      <c r="J1378" s="18"/>
      <c r="K1378" s="18"/>
      <c r="L1378" s="10"/>
      <c r="M1378" s="18"/>
      <c r="N1378" s="10"/>
      <c r="O1378" s="18"/>
      <c r="P1378" s="18"/>
      <c r="Q1378" s="18"/>
      <c r="R1378" s="18">
        <f>27461479.35+10902745.58</f>
        <v>38364224.93</v>
      </c>
      <c r="S1378" s="18"/>
    </row>
    <row r="1379" spans="1:19" ht="15" customHeight="1" x14ac:dyDescent="0.25">
      <c r="A1379" s="9" t="s">
        <v>805</v>
      </c>
      <c r="B1379" s="17" t="s">
        <v>1927</v>
      </c>
      <c r="C1379" s="18">
        <f t="shared" si="101"/>
        <v>36686999.219999999</v>
      </c>
      <c r="D1379" s="18"/>
      <c r="E1379" s="18"/>
      <c r="F1379" s="18"/>
      <c r="G1379" s="18"/>
      <c r="H1379" s="18"/>
      <c r="I1379" s="18"/>
      <c r="J1379" s="18"/>
      <c r="K1379" s="18"/>
      <c r="L1379" s="10"/>
      <c r="M1379" s="18"/>
      <c r="N1379" s="10"/>
      <c r="O1379" s="18"/>
      <c r="P1379" s="18"/>
      <c r="Q1379" s="18"/>
      <c r="R1379" s="18">
        <f>32203651.72+4483347.5</f>
        <v>36686999.219999999</v>
      </c>
      <c r="S1379" s="18"/>
    </row>
    <row r="1380" spans="1:19" x14ac:dyDescent="0.25">
      <c r="A1380" s="9" t="s">
        <v>807</v>
      </c>
      <c r="B1380" s="17" t="s">
        <v>1443</v>
      </c>
      <c r="C1380" s="18">
        <f t="shared" si="101"/>
        <v>49916814.869999997</v>
      </c>
      <c r="D1380" s="18"/>
      <c r="E1380" s="18"/>
      <c r="F1380" s="18"/>
      <c r="G1380" s="18"/>
      <c r="H1380" s="18"/>
      <c r="I1380" s="18"/>
      <c r="J1380" s="18"/>
      <c r="K1380" s="18"/>
      <c r="L1380" s="10"/>
      <c r="M1380" s="18"/>
      <c r="N1380" s="10" t="s">
        <v>552</v>
      </c>
      <c r="O1380" s="18">
        <v>11537753.449999999</v>
      </c>
      <c r="P1380" s="18"/>
      <c r="Q1380" s="18"/>
      <c r="R1380" s="18">
        <f>28300867.77+10078193.65</f>
        <v>38379061.420000002</v>
      </c>
      <c r="S1380" s="18"/>
    </row>
    <row r="1381" spans="1:19" ht="15" customHeight="1" x14ac:dyDescent="0.25">
      <c r="A1381" s="9" t="s">
        <v>809</v>
      </c>
      <c r="B1381" s="17" t="s">
        <v>1455</v>
      </c>
      <c r="C1381" s="18">
        <f t="shared" si="101"/>
        <v>6201522.3399999999</v>
      </c>
      <c r="D1381" s="18"/>
      <c r="E1381" s="18"/>
      <c r="F1381" s="18"/>
      <c r="G1381" s="18">
        <v>6201522.3399999999</v>
      </c>
      <c r="H1381" s="18"/>
      <c r="I1381" s="18"/>
      <c r="J1381" s="18"/>
      <c r="K1381" s="18"/>
      <c r="L1381" s="10"/>
      <c r="M1381" s="18"/>
      <c r="N1381" s="10"/>
      <c r="O1381" s="18"/>
      <c r="P1381" s="18"/>
      <c r="Q1381" s="18"/>
      <c r="R1381" s="18"/>
      <c r="S1381" s="18"/>
    </row>
    <row r="1382" spans="1:19" x14ac:dyDescent="0.25">
      <c r="A1382" s="9" t="s">
        <v>811</v>
      </c>
      <c r="B1382" s="17" t="s">
        <v>1459</v>
      </c>
      <c r="C1382" s="18">
        <f t="shared" si="101"/>
        <v>135080.85999999999</v>
      </c>
      <c r="D1382" s="18"/>
      <c r="E1382" s="18">
        <v>135080.85999999999</v>
      </c>
      <c r="F1382" s="18"/>
      <c r="G1382" s="18"/>
      <c r="H1382" s="18"/>
      <c r="I1382" s="18"/>
      <c r="J1382" s="18"/>
      <c r="K1382" s="18"/>
      <c r="L1382" s="10"/>
      <c r="M1382" s="18"/>
      <c r="N1382" s="10"/>
      <c r="O1382" s="18"/>
      <c r="P1382" s="18"/>
      <c r="Q1382" s="18"/>
      <c r="R1382" s="18"/>
      <c r="S1382" s="18"/>
    </row>
    <row r="1383" spans="1:19" x14ac:dyDescent="0.25">
      <c r="A1383" s="9" t="s">
        <v>813</v>
      </c>
      <c r="B1383" s="17" t="s">
        <v>1467</v>
      </c>
      <c r="C1383" s="18">
        <f t="shared" si="101"/>
        <v>35023927.200000003</v>
      </c>
      <c r="D1383" s="18"/>
      <c r="E1383" s="18"/>
      <c r="F1383" s="18"/>
      <c r="G1383" s="18"/>
      <c r="H1383" s="18"/>
      <c r="I1383" s="18"/>
      <c r="J1383" s="18"/>
      <c r="K1383" s="18"/>
      <c r="L1383" s="10"/>
      <c r="M1383" s="18"/>
      <c r="N1383" s="10" t="s">
        <v>552</v>
      </c>
      <c r="O1383" s="18">
        <f>10946604+5534502</f>
        <v>16481106</v>
      </c>
      <c r="P1383" s="18"/>
      <c r="Q1383" s="18">
        <v>18542821.199999999</v>
      </c>
      <c r="R1383" s="18"/>
      <c r="S1383" s="18"/>
    </row>
    <row r="1384" spans="1:19" x14ac:dyDescent="0.25">
      <c r="A1384" s="9" t="s">
        <v>815</v>
      </c>
      <c r="B1384" s="17" t="s">
        <v>1479</v>
      </c>
      <c r="C1384" s="18">
        <f t="shared" si="101"/>
        <v>4163284.88</v>
      </c>
      <c r="D1384" s="18">
        <v>48536.63</v>
      </c>
      <c r="E1384" s="18"/>
      <c r="F1384" s="18"/>
      <c r="G1384" s="18">
        <f>1276348.85+2838399.4</f>
        <v>4114748.25</v>
      </c>
      <c r="H1384" s="18"/>
      <c r="I1384" s="18"/>
      <c r="J1384" s="18"/>
      <c r="K1384" s="18"/>
      <c r="L1384" s="10"/>
      <c r="M1384" s="18"/>
      <c r="N1384" s="10"/>
      <c r="O1384" s="18"/>
      <c r="P1384" s="18"/>
      <c r="Q1384" s="18"/>
      <c r="R1384" s="18"/>
      <c r="S1384" s="18"/>
    </row>
    <row r="1385" spans="1:19" x14ac:dyDescent="0.25">
      <c r="A1385" s="9" t="s">
        <v>817</v>
      </c>
      <c r="B1385" s="17" t="s">
        <v>1493</v>
      </c>
      <c r="C1385" s="18">
        <f t="shared" si="101"/>
        <v>4283063.12</v>
      </c>
      <c r="D1385" s="18"/>
      <c r="E1385" s="18"/>
      <c r="F1385" s="18"/>
      <c r="G1385" s="18"/>
      <c r="H1385" s="18"/>
      <c r="I1385" s="18"/>
      <c r="J1385" s="18"/>
      <c r="K1385" s="18"/>
      <c r="L1385" s="10"/>
      <c r="M1385" s="18"/>
      <c r="N1385" s="10" t="s">
        <v>552</v>
      </c>
      <c r="O1385" s="18">
        <v>4283063.12</v>
      </c>
      <c r="P1385" s="18"/>
      <c r="Q1385" s="18"/>
      <c r="R1385" s="18"/>
      <c r="S1385" s="18"/>
    </row>
    <row r="1386" spans="1:19" x14ac:dyDescent="0.25">
      <c r="A1386" s="9" t="s">
        <v>819</v>
      </c>
      <c r="B1386" s="17" t="s">
        <v>1497</v>
      </c>
      <c r="C1386" s="18">
        <f t="shared" si="101"/>
        <v>23008304.699999999</v>
      </c>
      <c r="D1386" s="18"/>
      <c r="E1386" s="18"/>
      <c r="F1386" s="18"/>
      <c r="G1386" s="18"/>
      <c r="H1386" s="18"/>
      <c r="I1386" s="18"/>
      <c r="J1386" s="18"/>
      <c r="K1386" s="18"/>
      <c r="L1386" s="10"/>
      <c r="M1386" s="18"/>
      <c r="N1386" s="10" t="s">
        <v>552</v>
      </c>
      <c r="O1386" s="18">
        <v>13353767.4</v>
      </c>
      <c r="P1386" s="18"/>
      <c r="Q1386" s="18">
        <v>9654537.3000000007</v>
      </c>
      <c r="R1386" s="18"/>
      <c r="S1386" s="18"/>
    </row>
    <row r="1387" spans="1:19" x14ac:dyDescent="0.25">
      <c r="A1387" s="9"/>
      <c r="B1387" s="50" t="s">
        <v>2091</v>
      </c>
      <c r="C1387" s="18">
        <f>ROUND(D1387+E1387+F1387+G1387+H1387+I1387+J1387+K1387+M1387+O1387+P1387+Q1387+R1387+S1387,2)</f>
        <v>1404486405.45</v>
      </c>
      <c r="D1387" s="18">
        <f t="shared" ref="D1387:M1387" si="102">SUM(D1314:D1386)</f>
        <v>1807359.27</v>
      </c>
      <c r="E1387" s="18">
        <f t="shared" si="102"/>
        <v>1129811.6400000001</v>
      </c>
      <c r="F1387" s="18">
        <f t="shared" si="102"/>
        <v>113555872.78</v>
      </c>
      <c r="G1387" s="18">
        <f t="shared" si="102"/>
        <v>68269726.489999995</v>
      </c>
      <c r="H1387" s="18">
        <f t="shared" si="102"/>
        <v>31399459.18</v>
      </c>
      <c r="I1387" s="18">
        <f t="shared" si="102"/>
        <v>14740079.08</v>
      </c>
      <c r="J1387" s="18">
        <f t="shared" si="102"/>
        <v>27090504.199999999</v>
      </c>
      <c r="K1387" s="18">
        <f t="shared" si="102"/>
        <v>0</v>
      </c>
      <c r="L1387" s="10">
        <f t="shared" si="102"/>
        <v>4</v>
      </c>
      <c r="M1387" s="18">
        <f t="shared" si="102"/>
        <v>14538880.25</v>
      </c>
      <c r="N1387" s="18" t="s">
        <v>42</v>
      </c>
      <c r="O1387" s="18">
        <f>SUM(O1314:O1386)</f>
        <v>447868158.01999992</v>
      </c>
      <c r="P1387" s="18">
        <f>SUM(P1314:P1386)</f>
        <v>28961839.850000001</v>
      </c>
      <c r="Q1387" s="18">
        <f>SUM(Q1314:Q1386)</f>
        <v>457606932.42999995</v>
      </c>
      <c r="R1387" s="18">
        <f>SUM(R1314:R1386)</f>
        <v>197517782.25999999</v>
      </c>
      <c r="S1387" s="18">
        <f>SUM(S1314:S1386)</f>
        <v>0</v>
      </c>
    </row>
    <row r="1388" spans="1:19" x14ac:dyDescent="0.25">
      <c r="A1388" s="9"/>
      <c r="B1388" s="34" t="s">
        <v>1499</v>
      </c>
      <c r="C1388" s="18"/>
      <c r="D1388" s="46"/>
      <c r="E1388" s="47"/>
      <c r="F1388" s="13"/>
      <c r="G1388" s="13"/>
      <c r="H1388" s="13"/>
      <c r="I1388" s="13"/>
      <c r="J1388" s="13"/>
      <c r="K1388" s="13"/>
      <c r="L1388" s="14"/>
      <c r="M1388" s="13"/>
      <c r="N1388" s="14"/>
      <c r="O1388" s="13"/>
      <c r="P1388" s="13"/>
      <c r="Q1388" s="13"/>
      <c r="R1388" s="13"/>
      <c r="S1388" s="13"/>
    </row>
    <row r="1389" spans="1:19" x14ac:dyDescent="0.25">
      <c r="A1389" s="9" t="s">
        <v>821</v>
      </c>
      <c r="B1389" s="17" t="s">
        <v>1501</v>
      </c>
      <c r="C1389" s="18">
        <f t="shared" ref="C1389:C1418" si="103">ROUNDUP(SUM(D1389+E1389+F1389+G1389+H1389+I1389+J1389+K1389+M1389+O1389+P1389+Q1389+R1389+S1389),2)</f>
        <v>9206604.8399999999</v>
      </c>
      <c r="D1389" s="18"/>
      <c r="E1389" s="18"/>
      <c r="F1389" s="18"/>
      <c r="G1389" s="18"/>
      <c r="H1389" s="18"/>
      <c r="I1389" s="18"/>
      <c r="J1389" s="18"/>
      <c r="K1389" s="18"/>
      <c r="L1389" s="10"/>
      <c r="M1389" s="18"/>
      <c r="N1389" s="10"/>
      <c r="O1389" s="18"/>
      <c r="P1389" s="18"/>
      <c r="Q1389" s="18">
        <v>9206604.8399999999</v>
      </c>
      <c r="R1389" s="18"/>
      <c r="S1389" s="18"/>
    </row>
    <row r="1390" spans="1:19" x14ac:dyDescent="0.25">
      <c r="A1390" s="9" t="s">
        <v>823</v>
      </c>
      <c r="B1390" s="17" t="s">
        <v>1505</v>
      </c>
      <c r="C1390" s="18">
        <f t="shared" si="103"/>
        <v>35284902.020000003</v>
      </c>
      <c r="D1390" s="18">
        <v>75423.12</v>
      </c>
      <c r="E1390" s="18"/>
      <c r="F1390" s="18"/>
      <c r="G1390" s="18"/>
      <c r="H1390" s="18"/>
      <c r="I1390" s="18"/>
      <c r="J1390" s="18"/>
      <c r="K1390" s="18"/>
      <c r="L1390" s="10"/>
      <c r="M1390" s="18"/>
      <c r="N1390" s="10" t="s">
        <v>552</v>
      </c>
      <c r="O1390" s="18">
        <v>19046243.440000001</v>
      </c>
      <c r="P1390" s="18"/>
      <c r="Q1390" s="18">
        <v>16163235.460000001</v>
      </c>
      <c r="R1390" s="18"/>
      <c r="S1390" s="18"/>
    </row>
    <row r="1391" spans="1:19" ht="15" customHeight="1" x14ac:dyDescent="0.25">
      <c r="A1391" s="9" t="s">
        <v>825</v>
      </c>
      <c r="B1391" s="17" t="s">
        <v>1509</v>
      </c>
      <c r="C1391" s="18">
        <f t="shared" si="103"/>
        <v>21317419.199999999</v>
      </c>
      <c r="D1391" s="18">
        <v>16758.46</v>
      </c>
      <c r="E1391" s="18"/>
      <c r="F1391" s="18">
        <v>4231934.75</v>
      </c>
      <c r="G1391" s="18"/>
      <c r="H1391" s="18"/>
      <c r="I1391" s="18"/>
      <c r="J1391" s="18">
        <v>1233191.6599999999</v>
      </c>
      <c r="K1391" s="18"/>
      <c r="L1391" s="10"/>
      <c r="M1391" s="18"/>
      <c r="N1391" s="10"/>
      <c r="O1391" s="18"/>
      <c r="P1391" s="18"/>
      <c r="Q1391" s="18">
        <f>15947366.62-3558102.77+3446270.48</f>
        <v>15835534.33</v>
      </c>
      <c r="R1391" s="18"/>
      <c r="S1391" s="18"/>
    </row>
    <row r="1392" spans="1:19" x14ac:dyDescent="0.25">
      <c r="A1392" s="9" t="s">
        <v>827</v>
      </c>
      <c r="B1392" s="17" t="s">
        <v>1513</v>
      </c>
      <c r="C1392" s="18">
        <f t="shared" si="103"/>
        <v>18371851.289999999</v>
      </c>
      <c r="D1392" s="18">
        <v>72465.570000000007</v>
      </c>
      <c r="E1392" s="18"/>
      <c r="F1392" s="18"/>
      <c r="G1392" s="18"/>
      <c r="H1392" s="18"/>
      <c r="I1392" s="18"/>
      <c r="J1392" s="18"/>
      <c r="K1392" s="18"/>
      <c r="L1392" s="10"/>
      <c r="M1392" s="18"/>
      <c r="N1392" s="10" t="s">
        <v>552</v>
      </c>
      <c r="O1392" s="18">
        <v>18299385.719999999</v>
      </c>
      <c r="P1392" s="18"/>
      <c r="Q1392" s="18"/>
      <c r="R1392" s="18"/>
      <c r="S1392" s="18"/>
    </row>
    <row r="1393" spans="1:19" ht="15" customHeight="1" x14ac:dyDescent="0.25">
      <c r="A1393" s="9" t="s">
        <v>829</v>
      </c>
      <c r="B1393" s="17" t="s">
        <v>1515</v>
      </c>
      <c r="C1393" s="18">
        <f>ROUNDUP(SUM(D1393+E1393+F1393+G1393+H1393+I1393+J1393+K1393+M1393+O1393+P1393+Q1393+R1393+S1393),2)</f>
        <v>33919331.630000003</v>
      </c>
      <c r="D1393" s="18">
        <v>133790.75</v>
      </c>
      <c r="E1393" s="18"/>
      <c r="F1393" s="18"/>
      <c r="G1393" s="18">
        <v>7083901.2599999998</v>
      </c>
      <c r="H1393" s="18">
        <v>2578582.2000000002</v>
      </c>
      <c r="I1393" s="18">
        <v>1585019.46</v>
      </c>
      <c r="J1393" s="18"/>
      <c r="K1393" s="18"/>
      <c r="L1393" s="10"/>
      <c r="M1393" s="18"/>
      <c r="N1393" s="10" t="s">
        <v>552</v>
      </c>
      <c r="O1393" s="18">
        <v>22538037.960000001</v>
      </c>
      <c r="P1393" s="18"/>
      <c r="Q1393" s="18"/>
      <c r="R1393" s="18"/>
      <c r="S1393" s="18"/>
    </row>
    <row r="1394" spans="1:19" x14ac:dyDescent="0.25">
      <c r="A1394" s="9" t="s">
        <v>831</v>
      </c>
      <c r="B1394" s="17" t="s">
        <v>1531</v>
      </c>
      <c r="C1394" s="18">
        <f t="shared" si="103"/>
        <v>14098253.369999999</v>
      </c>
      <c r="D1394" s="18">
        <v>55608.87</v>
      </c>
      <c r="E1394" s="18"/>
      <c r="F1394" s="18"/>
      <c r="G1394" s="18"/>
      <c r="H1394" s="18"/>
      <c r="I1394" s="18"/>
      <c r="J1394" s="18"/>
      <c r="K1394" s="18"/>
      <c r="L1394" s="10"/>
      <c r="M1394" s="18"/>
      <c r="N1394" s="10" t="s">
        <v>883</v>
      </c>
      <c r="O1394" s="18">
        <v>14042644.5</v>
      </c>
      <c r="P1394" s="18"/>
      <c r="Q1394" s="18"/>
      <c r="R1394" s="18"/>
      <c r="S1394" s="18"/>
    </row>
    <row r="1395" spans="1:19" x14ac:dyDescent="0.25">
      <c r="A1395" s="9" t="s">
        <v>833</v>
      </c>
      <c r="B1395" s="17" t="s">
        <v>1529</v>
      </c>
      <c r="C1395" s="18">
        <f t="shared" si="103"/>
        <v>26313435.559999999</v>
      </c>
      <c r="D1395" s="18">
        <v>38866.53</v>
      </c>
      <c r="E1395" s="18"/>
      <c r="F1395" s="18"/>
      <c r="G1395" s="18">
        <v>5064825.09</v>
      </c>
      <c r="H1395" s="18">
        <v>2907006.35</v>
      </c>
      <c r="I1395" s="18">
        <v>1842946.62</v>
      </c>
      <c r="J1395" s="18"/>
      <c r="K1395" s="18"/>
      <c r="L1395" s="10"/>
      <c r="M1395" s="18"/>
      <c r="N1395" s="10" t="s">
        <v>552</v>
      </c>
      <c r="O1395" s="18">
        <v>16459790.970000001</v>
      </c>
      <c r="P1395" s="18"/>
      <c r="Q1395" s="18"/>
      <c r="R1395" s="18"/>
      <c r="S1395" s="18"/>
    </row>
    <row r="1396" spans="1:19" x14ac:dyDescent="0.25">
      <c r="A1396" s="9" t="s">
        <v>835</v>
      </c>
      <c r="B1396" s="17" t="s">
        <v>1521</v>
      </c>
      <c r="C1396" s="18">
        <f t="shared" si="103"/>
        <v>5485246.5199999996</v>
      </c>
      <c r="D1396" s="18">
        <v>21635.91</v>
      </c>
      <c r="E1396" s="18"/>
      <c r="F1396" s="18"/>
      <c r="G1396" s="18">
        <v>4412607.41</v>
      </c>
      <c r="H1396" s="18">
        <v>639474</v>
      </c>
      <c r="I1396" s="18">
        <v>411529.2</v>
      </c>
      <c r="J1396" s="18"/>
      <c r="K1396" s="18"/>
      <c r="L1396" s="10"/>
      <c r="M1396" s="18"/>
      <c r="N1396" s="10"/>
      <c r="O1396" s="18"/>
      <c r="P1396" s="18"/>
      <c r="Q1396" s="18"/>
      <c r="R1396" s="18"/>
      <c r="S1396" s="18"/>
    </row>
    <row r="1397" spans="1:19" x14ac:dyDescent="0.25">
      <c r="A1397" s="9" t="s">
        <v>837</v>
      </c>
      <c r="B1397" s="17" t="s">
        <v>1523</v>
      </c>
      <c r="C1397" s="18">
        <f t="shared" si="103"/>
        <v>3276771.24</v>
      </c>
      <c r="D1397" s="18">
        <v>12924.84</v>
      </c>
      <c r="E1397" s="18"/>
      <c r="F1397" s="18"/>
      <c r="G1397" s="18">
        <v>2136888</v>
      </c>
      <c r="H1397" s="18">
        <v>656973.6</v>
      </c>
      <c r="I1397" s="18">
        <v>469984.8</v>
      </c>
      <c r="J1397" s="18"/>
      <c r="K1397" s="18"/>
      <c r="L1397" s="10"/>
      <c r="M1397" s="18"/>
      <c r="N1397" s="10"/>
      <c r="O1397" s="18"/>
      <c r="P1397" s="18"/>
      <c r="Q1397" s="18"/>
      <c r="R1397" s="18"/>
      <c r="S1397" s="18"/>
    </row>
    <row r="1398" spans="1:19" x14ac:dyDescent="0.25">
      <c r="A1398" s="9" t="s">
        <v>839</v>
      </c>
      <c r="B1398" s="17" t="s">
        <v>1533</v>
      </c>
      <c r="C1398" s="18">
        <f t="shared" si="103"/>
        <v>6850485.9199999999</v>
      </c>
      <c r="D1398" s="18"/>
      <c r="E1398" s="18"/>
      <c r="F1398" s="18"/>
      <c r="G1398" s="18"/>
      <c r="H1398" s="18"/>
      <c r="I1398" s="18"/>
      <c r="J1398" s="18"/>
      <c r="K1398" s="18"/>
      <c r="L1398" s="10"/>
      <c r="M1398" s="18"/>
      <c r="N1398" s="10" t="s">
        <v>552</v>
      </c>
      <c r="O1398" s="18">
        <v>6750873.9000000004</v>
      </c>
      <c r="P1398" s="18"/>
      <c r="Q1398" s="18"/>
      <c r="R1398" s="18"/>
      <c r="S1398" s="18">
        <v>99612.02</v>
      </c>
    </row>
    <row r="1399" spans="1:19" x14ac:dyDescent="0.25">
      <c r="A1399" s="9" t="s">
        <v>841</v>
      </c>
      <c r="B1399" s="17" t="s">
        <v>1535</v>
      </c>
      <c r="C1399" s="18">
        <f>ROUNDUP(SUM(D1399+E1399+F1399+G1399+H1399+I1399+J1399+K1399+M1399+O1399+P1399+Q1399+R1399+S1399),2)</f>
        <v>12231082.289999999</v>
      </c>
      <c r="D1399" s="18">
        <v>48244.04</v>
      </c>
      <c r="E1399" s="18"/>
      <c r="F1399" s="18"/>
      <c r="G1399" s="18">
        <v>4138687.44</v>
      </c>
      <c r="H1399" s="18"/>
      <c r="I1399" s="18"/>
      <c r="J1399" s="18"/>
      <c r="K1399" s="18"/>
      <c r="L1399" s="10"/>
      <c r="M1399" s="18"/>
      <c r="N1399" s="10" t="s">
        <v>552</v>
      </c>
      <c r="O1399" s="18">
        <v>6653419.2000000002</v>
      </c>
      <c r="P1399" s="18">
        <v>1390731.61</v>
      </c>
      <c r="Q1399" s="18"/>
      <c r="R1399" s="18"/>
      <c r="S1399" s="18"/>
    </row>
    <row r="1400" spans="1:19" x14ac:dyDescent="0.25">
      <c r="A1400" s="9" t="s">
        <v>843</v>
      </c>
      <c r="B1400" s="17" t="s">
        <v>1539</v>
      </c>
      <c r="C1400" s="18">
        <f>ROUNDUP(SUM(D1400+E1400+F1400+G1400+H1400+I1400+J1400+K1400+M1400+O1400+P1400+Q1400+R1400+S1400),2)</f>
        <v>67351839.290000007</v>
      </c>
      <c r="D1400" s="18"/>
      <c r="E1400" s="18"/>
      <c r="F1400" s="18"/>
      <c r="G1400" s="18">
        <v>12054516.41</v>
      </c>
      <c r="H1400" s="18"/>
      <c r="I1400" s="18"/>
      <c r="J1400" s="18"/>
      <c r="K1400" s="18"/>
      <c r="L1400" s="10"/>
      <c r="M1400" s="18"/>
      <c r="N1400" s="10" t="s">
        <v>552</v>
      </c>
      <c r="O1400" s="18">
        <v>27687812.75</v>
      </c>
      <c r="P1400" s="18"/>
      <c r="Q1400" s="18">
        <v>27609510.129999999</v>
      </c>
      <c r="R1400" s="18"/>
      <c r="S1400" s="18"/>
    </row>
    <row r="1401" spans="1:19" x14ac:dyDescent="0.25">
      <c r="A1401" s="9" t="s">
        <v>845</v>
      </c>
      <c r="B1401" s="23" t="s">
        <v>1551</v>
      </c>
      <c r="C1401" s="51">
        <f>ROUNDUP(SUM(D1401+E1401+F1401+G1401+H1401+I1401+J1401+K1401+M1401+O1401+P1401+Q1401+R1401+S1401),2)</f>
        <v>3264816.87</v>
      </c>
      <c r="D1401" s="18">
        <v>12877.68</v>
      </c>
      <c r="E1401" s="51"/>
      <c r="F1401" s="51"/>
      <c r="G1401" s="51">
        <v>3251939.19</v>
      </c>
      <c r="H1401" s="51"/>
      <c r="I1401" s="51"/>
      <c r="J1401" s="51"/>
      <c r="K1401" s="51"/>
      <c r="L1401" s="52"/>
      <c r="M1401" s="51"/>
      <c r="N1401" s="52"/>
      <c r="O1401" s="51"/>
      <c r="P1401" s="51"/>
      <c r="Q1401" s="51"/>
      <c r="R1401" s="51"/>
      <c r="S1401" s="51"/>
    </row>
    <row r="1402" spans="1:19" ht="14.25" customHeight="1" x14ac:dyDescent="0.25">
      <c r="A1402" s="9" t="s">
        <v>847</v>
      </c>
      <c r="B1402" s="17" t="s">
        <v>1553</v>
      </c>
      <c r="C1402" s="18">
        <f>ROUNDUP(SUM(D1402+E1402+F1402+G1402+H1402+I1402+J1402+K1402+M1402+O1402+P1402+Q1402+R1402+S1402),2)</f>
        <v>3751326.53</v>
      </c>
      <c r="D1402" s="18"/>
      <c r="E1402" s="18"/>
      <c r="F1402" s="18"/>
      <c r="G1402" s="18">
        <v>2131536.75</v>
      </c>
      <c r="H1402" s="18">
        <v>1056782.6100000001</v>
      </c>
      <c r="I1402" s="18">
        <v>563007.17000000004</v>
      </c>
      <c r="J1402" s="18"/>
      <c r="K1402" s="18"/>
      <c r="L1402" s="10"/>
      <c r="M1402" s="18"/>
      <c r="N1402" s="10"/>
      <c r="O1402" s="18"/>
      <c r="P1402" s="18"/>
      <c r="Q1402" s="18"/>
      <c r="R1402" s="18"/>
      <c r="S1402" s="18"/>
    </row>
    <row r="1403" spans="1:19" x14ac:dyDescent="0.25">
      <c r="A1403" s="9" t="s">
        <v>849</v>
      </c>
      <c r="B1403" s="17" t="s">
        <v>1555</v>
      </c>
      <c r="C1403" s="18">
        <f t="shared" si="103"/>
        <v>19968167.48</v>
      </c>
      <c r="D1403" s="18">
        <v>150613.41</v>
      </c>
      <c r="E1403" s="18"/>
      <c r="F1403" s="18"/>
      <c r="G1403" s="18"/>
      <c r="H1403" s="18"/>
      <c r="I1403" s="18"/>
      <c r="J1403" s="18"/>
      <c r="K1403" s="18"/>
      <c r="L1403" s="10"/>
      <c r="M1403" s="18"/>
      <c r="N1403" s="10" t="s">
        <v>552</v>
      </c>
      <c r="O1403" s="18">
        <v>19817554.07</v>
      </c>
      <c r="P1403" s="18"/>
      <c r="Q1403" s="18"/>
      <c r="R1403" s="18"/>
      <c r="S1403" s="18"/>
    </row>
    <row r="1404" spans="1:19" x14ac:dyDescent="0.25">
      <c r="A1404" s="9" t="s">
        <v>851</v>
      </c>
      <c r="B1404" s="17" t="s">
        <v>1557</v>
      </c>
      <c r="C1404" s="18">
        <f t="shared" si="103"/>
        <v>7141469.8300000001</v>
      </c>
      <c r="D1404" s="18">
        <v>53865.79</v>
      </c>
      <c r="E1404" s="18"/>
      <c r="F1404" s="18"/>
      <c r="G1404" s="18"/>
      <c r="H1404" s="18"/>
      <c r="I1404" s="18"/>
      <c r="J1404" s="18"/>
      <c r="K1404" s="18"/>
      <c r="L1404" s="10"/>
      <c r="M1404" s="18"/>
      <c r="N1404" s="10" t="s">
        <v>552</v>
      </c>
      <c r="O1404" s="18">
        <v>7087604.04</v>
      </c>
      <c r="P1404" s="18"/>
      <c r="Q1404" s="18"/>
      <c r="R1404" s="18"/>
      <c r="S1404" s="18"/>
    </row>
    <row r="1405" spans="1:19" x14ac:dyDescent="0.25">
      <c r="A1405" s="9" t="s">
        <v>853</v>
      </c>
      <c r="B1405" s="17" t="s">
        <v>1559</v>
      </c>
      <c r="C1405" s="18">
        <f t="shared" si="103"/>
        <v>19665811.449999999</v>
      </c>
      <c r="D1405" s="18">
        <v>148332.84</v>
      </c>
      <c r="E1405" s="18"/>
      <c r="F1405" s="18"/>
      <c r="G1405" s="18"/>
      <c r="H1405" s="18"/>
      <c r="I1405" s="18"/>
      <c r="J1405" s="18"/>
      <c r="K1405" s="18"/>
      <c r="L1405" s="10"/>
      <c r="M1405" s="18"/>
      <c r="N1405" s="10" t="s">
        <v>552</v>
      </c>
      <c r="O1405" s="18">
        <v>19517478.609999999</v>
      </c>
      <c r="P1405" s="18"/>
      <c r="Q1405" s="18"/>
      <c r="R1405" s="18"/>
      <c r="S1405" s="18"/>
    </row>
    <row r="1406" spans="1:19" x14ac:dyDescent="0.25">
      <c r="A1406" s="9" t="s">
        <v>855</v>
      </c>
      <c r="B1406" s="17" t="s">
        <v>1561</v>
      </c>
      <c r="C1406" s="18">
        <f>ROUNDUP(SUM(D1406+E1406+F1406+G1406+H1406+I1406+J1406+K1406+M1406+O1406+P1406+Q1406+R1406+S1406),2)</f>
        <v>7076683.6100000003</v>
      </c>
      <c r="D1406" s="18">
        <v>53377.13</v>
      </c>
      <c r="E1406" s="18"/>
      <c r="F1406" s="18"/>
      <c r="G1406" s="18"/>
      <c r="H1406" s="18"/>
      <c r="I1406" s="18"/>
      <c r="J1406" s="18"/>
      <c r="K1406" s="18"/>
      <c r="L1406" s="10"/>
      <c r="M1406" s="18"/>
      <c r="N1406" s="10" t="s">
        <v>552</v>
      </c>
      <c r="O1406" s="18">
        <v>7023306.4800000004</v>
      </c>
      <c r="P1406" s="18"/>
      <c r="Q1406" s="18"/>
      <c r="R1406" s="18"/>
      <c r="S1406" s="18"/>
    </row>
    <row r="1407" spans="1:19" x14ac:dyDescent="0.25">
      <c r="A1407" s="9" t="s">
        <v>857</v>
      </c>
      <c r="B1407" s="17" t="s">
        <v>1563</v>
      </c>
      <c r="C1407" s="18">
        <f>ROUNDUP(SUM(D1407+E1407+F1407+G1407+H1407+I1407+J1407+K1407+M1407+O1407+P1407+Q1407+R1407+S1407),2)</f>
        <v>7518727.0700000003</v>
      </c>
      <c r="D1407" s="18">
        <v>56711.32</v>
      </c>
      <c r="E1407" s="18"/>
      <c r="F1407" s="18"/>
      <c r="G1407" s="18"/>
      <c r="H1407" s="18"/>
      <c r="I1407" s="18"/>
      <c r="J1407" s="18"/>
      <c r="K1407" s="18"/>
      <c r="L1407" s="10"/>
      <c r="M1407" s="18"/>
      <c r="N1407" s="10" t="s">
        <v>552</v>
      </c>
      <c r="O1407" s="18">
        <v>7462015.75</v>
      </c>
      <c r="P1407" s="18"/>
      <c r="Q1407" s="18"/>
      <c r="R1407" s="18"/>
      <c r="S1407" s="18"/>
    </row>
    <row r="1408" spans="1:19" ht="13.5" customHeight="1" x14ac:dyDescent="0.25">
      <c r="A1408" s="9" t="s">
        <v>859</v>
      </c>
      <c r="B1408" s="17" t="s">
        <v>1567</v>
      </c>
      <c r="C1408" s="18">
        <f>ROUNDUP(SUM(D1408+E1408+F1408+G1408+H1408+I1408+J1408+K1408+M1408+O1408+P1408+Q1408+R1408+S1408),2)</f>
        <v>10271451.189999999</v>
      </c>
      <c r="D1408" s="18">
        <f>21140.95+56005.02</f>
        <v>77145.97</v>
      </c>
      <c r="E1408" s="18"/>
      <c r="F1408" s="18"/>
      <c r="G1408" s="18">
        <v>1636413.89</v>
      </c>
      <c r="H1408" s="18">
        <v>754018.13</v>
      </c>
      <c r="I1408" s="18">
        <v>391270.66</v>
      </c>
      <c r="J1408" s="18"/>
      <c r="K1408" s="18"/>
      <c r="L1408" s="10"/>
      <c r="M1408" s="18"/>
      <c r="N1408" s="10" t="s">
        <v>552</v>
      </c>
      <c r="O1408" s="18">
        <v>5769995.9900000002</v>
      </c>
      <c r="P1408" s="18">
        <v>1642606.55</v>
      </c>
      <c r="Q1408" s="18"/>
      <c r="R1408" s="18"/>
      <c r="S1408" s="18"/>
    </row>
    <row r="1409" spans="1:19" x14ac:dyDescent="0.25">
      <c r="A1409" s="9" t="s">
        <v>861</v>
      </c>
      <c r="B1409" s="17" t="s">
        <v>1569</v>
      </c>
      <c r="C1409" s="18">
        <f t="shared" si="103"/>
        <v>9457042.7100000009</v>
      </c>
      <c r="D1409" s="18">
        <v>71331.41</v>
      </c>
      <c r="E1409" s="18"/>
      <c r="F1409" s="18"/>
      <c r="G1409" s="18"/>
      <c r="H1409" s="18"/>
      <c r="I1409" s="18"/>
      <c r="J1409" s="18"/>
      <c r="K1409" s="18"/>
      <c r="L1409" s="10"/>
      <c r="M1409" s="18"/>
      <c r="N1409" s="10" t="s">
        <v>552</v>
      </c>
      <c r="O1409" s="18">
        <v>9385711.3000000007</v>
      </c>
      <c r="P1409" s="18"/>
      <c r="Q1409" s="18"/>
      <c r="R1409" s="18"/>
      <c r="S1409" s="18"/>
    </row>
    <row r="1410" spans="1:19" x14ac:dyDescent="0.25">
      <c r="A1410" s="9" t="s">
        <v>863</v>
      </c>
      <c r="B1410" s="17" t="s">
        <v>1571</v>
      </c>
      <c r="C1410" s="18">
        <f t="shared" si="103"/>
        <v>9420379.5600000005</v>
      </c>
      <c r="D1410" s="18">
        <v>71054.87</v>
      </c>
      <c r="E1410" s="18"/>
      <c r="F1410" s="18"/>
      <c r="G1410" s="18"/>
      <c r="H1410" s="18"/>
      <c r="I1410" s="18"/>
      <c r="J1410" s="18"/>
      <c r="K1410" s="18"/>
      <c r="L1410" s="10"/>
      <c r="M1410" s="18"/>
      <c r="N1410" s="10" t="s">
        <v>552</v>
      </c>
      <c r="O1410" s="18">
        <v>9349324.6899999995</v>
      </c>
      <c r="P1410" s="18"/>
      <c r="Q1410" s="18"/>
      <c r="R1410" s="18"/>
      <c r="S1410" s="18"/>
    </row>
    <row r="1411" spans="1:19" x14ac:dyDescent="0.25">
      <c r="A1411" s="9" t="s">
        <v>865</v>
      </c>
      <c r="B1411" s="17" t="s">
        <v>1577</v>
      </c>
      <c r="C1411" s="18">
        <f t="shared" si="103"/>
        <v>2754069.15</v>
      </c>
      <c r="D1411" s="18">
        <v>16126.48</v>
      </c>
      <c r="E1411" s="18"/>
      <c r="F1411" s="18"/>
      <c r="G1411" s="18">
        <v>2737942.67</v>
      </c>
      <c r="H1411" s="18"/>
      <c r="I1411" s="18"/>
      <c r="J1411" s="18"/>
      <c r="K1411" s="18"/>
      <c r="L1411" s="10"/>
      <c r="M1411" s="18"/>
      <c r="N1411" s="10"/>
      <c r="O1411" s="18"/>
      <c r="P1411" s="18"/>
      <c r="Q1411" s="18"/>
      <c r="R1411" s="18"/>
      <c r="S1411" s="18"/>
    </row>
    <row r="1412" spans="1:19" x14ac:dyDescent="0.25">
      <c r="A1412" s="9" t="s">
        <v>867</v>
      </c>
      <c r="B1412" s="17" t="s">
        <v>1575</v>
      </c>
      <c r="C1412" s="18">
        <f t="shared" si="103"/>
        <v>807833.93</v>
      </c>
      <c r="D1412" s="18">
        <v>4730.28</v>
      </c>
      <c r="E1412" s="18"/>
      <c r="F1412" s="18"/>
      <c r="G1412" s="18">
        <v>803103.65</v>
      </c>
      <c r="H1412" s="18"/>
      <c r="I1412" s="18"/>
      <c r="J1412" s="18"/>
      <c r="K1412" s="18"/>
      <c r="L1412" s="10"/>
      <c r="M1412" s="18"/>
      <c r="N1412" s="10"/>
      <c r="O1412" s="18"/>
      <c r="P1412" s="18"/>
      <c r="Q1412" s="18"/>
      <c r="R1412" s="18"/>
      <c r="S1412" s="18"/>
    </row>
    <row r="1413" spans="1:19" x14ac:dyDescent="0.25">
      <c r="A1413" s="9" t="s">
        <v>869</v>
      </c>
      <c r="B1413" s="17" t="s">
        <v>1585</v>
      </c>
      <c r="C1413" s="18">
        <f t="shared" si="103"/>
        <v>2305077.79</v>
      </c>
      <c r="D1413" s="18">
        <v>24403.21</v>
      </c>
      <c r="E1413" s="18"/>
      <c r="F1413" s="18"/>
      <c r="G1413" s="18"/>
      <c r="H1413" s="18"/>
      <c r="I1413" s="18"/>
      <c r="J1413" s="18"/>
      <c r="K1413" s="18"/>
      <c r="L1413" s="10"/>
      <c r="M1413" s="18"/>
      <c r="N1413" s="10"/>
      <c r="O1413" s="18"/>
      <c r="P1413" s="18"/>
      <c r="Q1413" s="18">
        <v>2280674.58</v>
      </c>
      <c r="R1413" s="18"/>
      <c r="S1413" s="18"/>
    </row>
    <row r="1414" spans="1:19" x14ac:dyDescent="0.25">
      <c r="A1414" s="9" t="s">
        <v>871</v>
      </c>
      <c r="B1414" s="17" t="s">
        <v>1587</v>
      </c>
      <c r="C1414" s="18">
        <f>ROUNDUP(SUM(D1414+E1414+F1414+G1414+H1414+I1414+J1414+K1414+M1414+O1414+P1414+Q1414+R1414+S1414),2)</f>
        <v>827622.66</v>
      </c>
      <c r="D1414" s="18">
        <v>8761.81</v>
      </c>
      <c r="E1414" s="18"/>
      <c r="F1414" s="18">
        <v>818860.85</v>
      </c>
      <c r="G1414" s="18"/>
      <c r="H1414" s="18"/>
      <c r="I1414" s="18"/>
      <c r="J1414" s="18"/>
      <c r="K1414" s="18"/>
      <c r="L1414" s="10"/>
      <c r="M1414" s="18"/>
      <c r="N1414" s="10"/>
      <c r="O1414" s="18"/>
      <c r="P1414" s="18"/>
      <c r="Q1414" s="18"/>
      <c r="R1414" s="18"/>
      <c r="S1414" s="18"/>
    </row>
    <row r="1415" spans="1:19" x14ac:dyDescent="0.25">
      <c r="A1415" s="9" t="s">
        <v>873</v>
      </c>
      <c r="B1415" s="17" t="s">
        <v>1579</v>
      </c>
      <c r="C1415" s="18">
        <f t="shared" si="103"/>
        <v>3533468.01</v>
      </c>
      <c r="D1415" s="18">
        <f>11403.92+26003.92</f>
        <v>37407.839999999997</v>
      </c>
      <c r="E1415" s="18"/>
      <c r="F1415" s="18"/>
      <c r="G1415" s="18">
        <v>1877375.86</v>
      </c>
      <c r="H1415" s="18">
        <v>1065787.56</v>
      </c>
      <c r="I1415" s="18">
        <v>552896.75</v>
      </c>
      <c r="J1415" s="18"/>
      <c r="K1415" s="18"/>
      <c r="L1415" s="10"/>
      <c r="M1415" s="18"/>
      <c r="N1415" s="10"/>
      <c r="O1415" s="18"/>
      <c r="P1415" s="18"/>
      <c r="Q1415" s="18"/>
      <c r="R1415" s="18"/>
      <c r="S1415" s="18"/>
    </row>
    <row r="1416" spans="1:19" x14ac:dyDescent="0.25">
      <c r="A1416" s="9" t="s">
        <v>877</v>
      </c>
      <c r="B1416" s="17" t="s">
        <v>1583</v>
      </c>
      <c r="C1416" s="18">
        <f t="shared" si="103"/>
        <v>3555814.39</v>
      </c>
      <c r="D1416" s="18">
        <f>16480.79+21163.63</f>
        <v>37644.42</v>
      </c>
      <c r="E1416" s="18"/>
      <c r="F1416" s="18"/>
      <c r="G1416" s="18">
        <v>1977909.8</v>
      </c>
      <c r="H1416" s="18">
        <v>976335.1</v>
      </c>
      <c r="I1416" s="18">
        <v>563925.06999999995</v>
      </c>
      <c r="J1416" s="18"/>
      <c r="K1416" s="18"/>
      <c r="L1416" s="10"/>
      <c r="M1416" s="18"/>
      <c r="N1416" s="10"/>
      <c r="O1416" s="18"/>
      <c r="P1416" s="18"/>
      <c r="Q1416" s="18"/>
      <c r="R1416" s="18"/>
      <c r="S1416" s="18"/>
    </row>
    <row r="1417" spans="1:19" x14ac:dyDescent="0.25">
      <c r="A1417" s="9" t="s">
        <v>879</v>
      </c>
      <c r="B1417" s="17" t="s">
        <v>1589</v>
      </c>
      <c r="C1417" s="18">
        <f>ROUNDUP(SUM(D1417+E1417+F1417+G1417+H1417+I1417+J1417+K1417+M1417+O1417+P1417+Q1417+R1417+S1417),2)</f>
        <v>8963171.75</v>
      </c>
      <c r="D1417" s="18">
        <v>52483.95</v>
      </c>
      <c r="E1417" s="18"/>
      <c r="F1417" s="18"/>
      <c r="G1417" s="18"/>
      <c r="H1417" s="18"/>
      <c r="I1417" s="18"/>
      <c r="J1417" s="18"/>
      <c r="K1417" s="18"/>
      <c r="L1417" s="10"/>
      <c r="M1417" s="18"/>
      <c r="N1417" s="10"/>
      <c r="O1417" s="18"/>
      <c r="P1417" s="18"/>
      <c r="Q1417" s="18">
        <v>8910687.8000000007</v>
      </c>
      <c r="R1417" s="18"/>
      <c r="S1417" s="18"/>
    </row>
    <row r="1418" spans="1:19" x14ac:dyDescent="0.25">
      <c r="A1418" s="9" t="s">
        <v>881</v>
      </c>
      <c r="B1418" s="17" t="s">
        <v>1591</v>
      </c>
      <c r="C1418" s="18">
        <f t="shared" si="103"/>
        <v>2045460.84</v>
      </c>
      <c r="D1418" s="18">
        <f>1979.38+9997.84</f>
        <v>11977.220000000001</v>
      </c>
      <c r="E1418" s="18"/>
      <c r="F1418" s="18"/>
      <c r="G1418" s="18">
        <v>1697426.07</v>
      </c>
      <c r="H1418" s="18"/>
      <c r="I1418" s="18">
        <v>336057.55</v>
      </c>
      <c r="J1418" s="18"/>
      <c r="K1418" s="18"/>
      <c r="L1418" s="10"/>
      <c r="M1418" s="18"/>
      <c r="N1418" s="10"/>
      <c r="O1418" s="18"/>
      <c r="P1418" s="18"/>
      <c r="Q1418" s="18"/>
      <c r="R1418" s="18"/>
      <c r="S1418" s="18"/>
    </row>
    <row r="1419" spans="1:19" x14ac:dyDescent="0.25">
      <c r="A1419" s="9" t="s">
        <v>884</v>
      </c>
      <c r="B1419" s="17" t="s">
        <v>1593</v>
      </c>
      <c r="C1419" s="18">
        <f>ROUNDUP(SUM(D1419+E1419+F1419+G1419+H1419+I1419+J1419+K1419+M1419+O1419+P1419+Q1419+R1419+S1419),2)</f>
        <v>2892215.6</v>
      </c>
      <c r="D1419" s="18">
        <f>14250.03+2685.37</f>
        <v>16935.400000000001</v>
      </c>
      <c r="E1419" s="18"/>
      <c r="F1419" s="18"/>
      <c r="G1419" s="18">
        <v>2419359.36</v>
      </c>
      <c r="H1419" s="18"/>
      <c r="I1419" s="18">
        <v>455920.84</v>
      </c>
      <c r="J1419" s="18"/>
      <c r="K1419" s="18"/>
      <c r="L1419" s="10"/>
      <c r="M1419" s="18"/>
      <c r="N1419" s="10"/>
      <c r="O1419" s="18"/>
      <c r="P1419" s="18"/>
      <c r="Q1419" s="18"/>
      <c r="R1419" s="18"/>
      <c r="S1419" s="18"/>
    </row>
    <row r="1420" spans="1:19" x14ac:dyDescent="0.25">
      <c r="A1420" s="9" t="s">
        <v>886</v>
      </c>
      <c r="B1420" s="17" t="s">
        <v>1595</v>
      </c>
      <c r="C1420" s="18">
        <f>ROUNDUP(SUM(D1420+E1420+F1420+G1420+H1420+I1420+J1420+K1420+M1420+O1420+P1420+Q1420+R1420+S1420),2)</f>
        <v>2894761.73</v>
      </c>
      <c r="D1420" s="18">
        <f>14214.04+2736.27</f>
        <v>16950.310000000001</v>
      </c>
      <c r="E1420" s="18"/>
      <c r="F1420" s="18"/>
      <c r="G1420" s="18">
        <v>2413249.6</v>
      </c>
      <c r="H1420" s="18"/>
      <c r="I1420" s="18">
        <v>464561.82</v>
      </c>
      <c r="J1420" s="18"/>
      <c r="K1420" s="18"/>
      <c r="L1420" s="10"/>
      <c r="M1420" s="18"/>
      <c r="N1420" s="10"/>
      <c r="O1420" s="18"/>
      <c r="P1420" s="18"/>
      <c r="Q1420" s="18"/>
      <c r="R1420" s="18"/>
      <c r="S1420" s="18"/>
    </row>
    <row r="1421" spans="1:19" x14ac:dyDescent="0.25">
      <c r="A1421" s="9" t="s">
        <v>888</v>
      </c>
      <c r="B1421" s="17" t="s">
        <v>1597</v>
      </c>
      <c r="C1421" s="18">
        <f t="shared" ref="C1421:C1442" si="104">ROUNDUP(SUM(D1421+E1421+F1421+G1421+H1421+I1421+J1421+K1421+M1421+O1421+P1421+Q1421+R1421+S1421),2)</f>
        <v>28358671.32</v>
      </c>
      <c r="D1421" s="18">
        <f>75592.85+36020.72+54440.96</f>
        <v>166054.53</v>
      </c>
      <c r="E1421" s="18"/>
      <c r="F1421" s="18"/>
      <c r="G1421" s="18">
        <v>6451330.9800000004</v>
      </c>
      <c r="H1421" s="18">
        <v>2221374.5699999998</v>
      </c>
      <c r="I1421" s="18">
        <v>570240.5</v>
      </c>
      <c r="J1421" s="18"/>
      <c r="K1421" s="18"/>
      <c r="L1421" s="10"/>
      <c r="M1421" s="18"/>
      <c r="N1421" s="10"/>
      <c r="O1421" s="18"/>
      <c r="P1421" s="18">
        <v>6115571.3799999999</v>
      </c>
      <c r="Q1421" s="18">
        <v>12834099.359999999</v>
      </c>
      <c r="R1421" s="18"/>
      <c r="S1421" s="18"/>
    </row>
    <row r="1422" spans="1:19" x14ac:dyDescent="0.25">
      <c r="A1422" s="9" t="s">
        <v>890</v>
      </c>
      <c r="B1422" s="17" t="s">
        <v>1599</v>
      </c>
      <c r="C1422" s="18">
        <f t="shared" si="104"/>
        <v>2370015.21</v>
      </c>
      <c r="D1422" s="18"/>
      <c r="E1422" s="18"/>
      <c r="F1422" s="18"/>
      <c r="G1422" s="18"/>
      <c r="H1422" s="18">
        <v>1462544.88</v>
      </c>
      <c r="I1422" s="18">
        <v>907470.33</v>
      </c>
      <c r="J1422" s="18"/>
      <c r="K1422" s="18"/>
      <c r="L1422" s="10"/>
      <c r="M1422" s="18"/>
      <c r="N1422" s="10"/>
      <c r="O1422" s="18"/>
      <c r="P1422" s="18"/>
      <c r="Q1422" s="18"/>
      <c r="R1422" s="18"/>
      <c r="S1422" s="18"/>
    </row>
    <row r="1423" spans="1:19" x14ac:dyDescent="0.25">
      <c r="A1423" s="9" t="s">
        <v>892</v>
      </c>
      <c r="B1423" s="17" t="s">
        <v>1601</v>
      </c>
      <c r="C1423" s="18">
        <f>ROUNDUP(SUM(D1423+E1423+F1423+G1423+H1423+I1423+J1423+K1423+M1423+O1423+P1423+Q1423+R1423+S1423),2)</f>
        <v>17909651.18</v>
      </c>
      <c r="D1423" s="18">
        <f>55940.57+14029.61+34899.97</f>
        <v>104870.15</v>
      </c>
      <c r="E1423" s="18"/>
      <c r="F1423" s="18"/>
      <c r="G1423" s="18">
        <v>3525077.62</v>
      </c>
      <c r="H1423" s="18">
        <v>1696958.37</v>
      </c>
      <c r="I1423" s="18">
        <v>703257.98</v>
      </c>
      <c r="J1423" s="18"/>
      <c r="K1423" s="18"/>
      <c r="L1423" s="10"/>
      <c r="M1423" s="18"/>
      <c r="N1423" s="10" t="s">
        <v>552</v>
      </c>
      <c r="O1423" s="18">
        <v>9497549.4000000004</v>
      </c>
      <c r="P1423" s="18">
        <v>2381937.66</v>
      </c>
      <c r="Q1423" s="18"/>
      <c r="R1423" s="18"/>
      <c r="S1423" s="18"/>
    </row>
    <row r="1424" spans="1:19" x14ac:dyDescent="0.25">
      <c r="A1424" s="9" t="s">
        <v>894</v>
      </c>
      <c r="B1424" s="17" t="s">
        <v>1603</v>
      </c>
      <c r="C1424" s="18">
        <f>ROUNDUP(SUM(D1424+E1424+F1424+G1424+H1424+I1424+J1424+K1424+M1424+O1424+P1424+Q1424+R1424+S1424),2)</f>
        <v>3873515.27</v>
      </c>
      <c r="D1424" s="18">
        <f>6977.06+15704.35</f>
        <v>22681.41</v>
      </c>
      <c r="E1424" s="18"/>
      <c r="F1424" s="18"/>
      <c r="G1424" s="18">
        <v>2666273.92</v>
      </c>
      <c r="H1424" s="18">
        <v>760806.06</v>
      </c>
      <c r="I1424" s="18">
        <v>423753.88</v>
      </c>
      <c r="J1424" s="18"/>
      <c r="K1424" s="18"/>
      <c r="L1424" s="10"/>
      <c r="M1424" s="18"/>
      <c r="N1424" s="10"/>
      <c r="O1424" s="18"/>
      <c r="P1424" s="18"/>
      <c r="Q1424" s="18"/>
      <c r="R1424" s="18"/>
      <c r="S1424" s="18"/>
    </row>
    <row r="1425" spans="1:19" x14ac:dyDescent="0.25">
      <c r="A1425" s="9" t="s">
        <v>896</v>
      </c>
      <c r="B1425" s="17" t="s">
        <v>1609</v>
      </c>
      <c r="C1425" s="18">
        <f>ROUNDUP(SUM(D1425+E1425+F1425+G1425+H1425+I1425+J1425+K1425+M1425+O1425+P1425+Q1425+R1425+S1425),2)</f>
        <v>4020494.8</v>
      </c>
      <c r="D1425" s="18">
        <f>5878.12+17663.93</f>
        <v>23542.05</v>
      </c>
      <c r="E1425" s="18"/>
      <c r="F1425" s="18"/>
      <c r="G1425" s="18">
        <v>2998968.95</v>
      </c>
      <c r="H1425" s="18">
        <v>604925.27</v>
      </c>
      <c r="I1425" s="18">
        <v>393058.53</v>
      </c>
      <c r="J1425" s="18"/>
      <c r="K1425" s="18"/>
      <c r="L1425" s="10"/>
      <c r="M1425" s="18"/>
      <c r="N1425" s="10"/>
      <c r="O1425" s="18"/>
      <c r="P1425" s="18"/>
      <c r="Q1425" s="18"/>
      <c r="R1425" s="18"/>
      <c r="S1425" s="18"/>
    </row>
    <row r="1426" spans="1:19" x14ac:dyDescent="0.25">
      <c r="A1426" s="9" t="s">
        <v>898</v>
      </c>
      <c r="B1426" s="17" t="s">
        <v>1621</v>
      </c>
      <c r="C1426" s="18">
        <f t="shared" si="104"/>
        <v>1030220.04</v>
      </c>
      <c r="D1426" s="18">
        <f>5892.57+23890.7</f>
        <v>29783.27</v>
      </c>
      <c r="E1426" s="18"/>
      <c r="F1426" s="18"/>
      <c r="G1426" s="18"/>
      <c r="H1426" s="18">
        <v>643429.41</v>
      </c>
      <c r="I1426" s="18">
        <v>357007.35999999999</v>
      </c>
      <c r="J1426" s="18"/>
      <c r="K1426" s="18"/>
      <c r="L1426" s="10"/>
      <c r="M1426" s="18"/>
      <c r="N1426" s="10"/>
      <c r="O1426" s="18"/>
      <c r="P1426" s="18"/>
      <c r="Q1426" s="18"/>
      <c r="R1426" s="18"/>
      <c r="S1426" s="18"/>
    </row>
    <row r="1427" spans="1:19" ht="15" customHeight="1" x14ac:dyDescent="0.25">
      <c r="A1427" s="9" t="s">
        <v>902</v>
      </c>
      <c r="B1427" s="17" t="s">
        <v>1613</v>
      </c>
      <c r="C1427" s="18">
        <f t="shared" si="104"/>
        <v>3649231.81</v>
      </c>
      <c r="D1427" s="18">
        <v>21368.12</v>
      </c>
      <c r="E1427" s="18"/>
      <c r="F1427" s="18"/>
      <c r="G1427" s="18"/>
      <c r="H1427" s="18"/>
      <c r="I1427" s="18"/>
      <c r="J1427" s="18"/>
      <c r="K1427" s="18"/>
      <c r="L1427" s="10"/>
      <c r="M1427" s="18"/>
      <c r="N1427" s="10"/>
      <c r="O1427" s="18"/>
      <c r="P1427" s="18"/>
      <c r="Q1427" s="18">
        <v>3627863.69</v>
      </c>
      <c r="R1427" s="18"/>
      <c r="S1427" s="18"/>
    </row>
    <row r="1428" spans="1:19" ht="15" customHeight="1" x14ac:dyDescent="0.25">
      <c r="A1428" s="9" t="s">
        <v>904</v>
      </c>
      <c r="B1428" s="17" t="s">
        <v>1615</v>
      </c>
      <c r="C1428" s="18">
        <f t="shared" si="104"/>
        <v>6945865.4100000001</v>
      </c>
      <c r="D1428" s="18">
        <f>11849.79+4202.84+24618.96</f>
        <v>40671.589999999997</v>
      </c>
      <c r="E1428" s="18"/>
      <c r="F1428" s="18"/>
      <c r="G1428" s="18">
        <v>2011848.63</v>
      </c>
      <c r="H1428" s="18">
        <v>435641.58</v>
      </c>
      <c r="I1428" s="18">
        <v>277913.96000000002</v>
      </c>
      <c r="J1428" s="18"/>
      <c r="K1428" s="18"/>
      <c r="L1428" s="10"/>
      <c r="M1428" s="18"/>
      <c r="N1428" s="10"/>
      <c r="O1428" s="18"/>
      <c r="P1428" s="18"/>
      <c r="Q1428" s="18">
        <v>4179789.65</v>
      </c>
      <c r="R1428" s="18"/>
      <c r="S1428" s="18"/>
    </row>
    <row r="1429" spans="1:19" x14ac:dyDescent="0.25">
      <c r="A1429" s="9" t="s">
        <v>906</v>
      </c>
      <c r="B1429" s="17" t="s">
        <v>1623</v>
      </c>
      <c r="C1429" s="18">
        <f t="shared" si="104"/>
        <v>3090974.47</v>
      </c>
      <c r="D1429" s="18">
        <v>18099.240000000002</v>
      </c>
      <c r="E1429" s="18"/>
      <c r="F1429" s="18"/>
      <c r="G1429" s="18"/>
      <c r="H1429" s="18"/>
      <c r="I1429" s="18"/>
      <c r="J1429" s="18"/>
      <c r="K1429" s="18"/>
      <c r="L1429" s="10"/>
      <c r="M1429" s="18"/>
      <c r="N1429" s="10"/>
      <c r="O1429" s="18"/>
      <c r="P1429" s="18"/>
      <c r="Q1429" s="18">
        <v>3072875.23</v>
      </c>
      <c r="R1429" s="18"/>
      <c r="S1429" s="18"/>
    </row>
    <row r="1430" spans="1:19" x14ac:dyDescent="0.25">
      <c r="A1430" s="9" t="s">
        <v>908</v>
      </c>
      <c r="B1430" s="17" t="s">
        <v>1625</v>
      </c>
      <c r="C1430" s="18">
        <f t="shared" si="104"/>
        <v>3052188.28</v>
      </c>
      <c r="D1430" s="18">
        <v>17872.12</v>
      </c>
      <c r="E1430" s="18"/>
      <c r="F1430" s="18"/>
      <c r="G1430" s="18"/>
      <c r="H1430" s="18"/>
      <c r="I1430" s="18"/>
      <c r="J1430" s="18"/>
      <c r="K1430" s="18"/>
      <c r="L1430" s="10"/>
      <c r="M1430" s="18"/>
      <c r="N1430" s="10"/>
      <c r="O1430" s="18"/>
      <c r="P1430" s="18"/>
      <c r="Q1430" s="18">
        <v>3034316.16</v>
      </c>
      <c r="R1430" s="18"/>
      <c r="S1430" s="18"/>
    </row>
    <row r="1431" spans="1:19" x14ac:dyDescent="0.25">
      <c r="A1431" s="9" t="s">
        <v>910</v>
      </c>
      <c r="B1431" s="17" t="s">
        <v>1629</v>
      </c>
      <c r="C1431" s="18">
        <f>ROUNDUP(SUM(D1431+E1431+F1431+G1431+H1431+I1431+J1431+K1431+M1431+O1431+P1431+Q1431+R1431+S1431),2)</f>
        <v>55376181.590000004</v>
      </c>
      <c r="D1431" s="18">
        <f>126942.47+2886.46</f>
        <v>129828.93000000001</v>
      </c>
      <c r="E1431" s="18"/>
      <c r="F1431" s="18"/>
      <c r="G1431" s="18"/>
      <c r="H1431" s="18"/>
      <c r="I1431" s="18"/>
      <c r="J1431" s="18"/>
      <c r="K1431" s="18"/>
      <c r="L1431" s="10"/>
      <c r="M1431" s="18"/>
      <c r="N1431" s="10"/>
      <c r="O1431" s="18"/>
      <c r="P1431" s="18"/>
      <c r="Q1431" s="18"/>
      <c r="R1431" s="18">
        <f>54018071.23+1228281.43</f>
        <v>55246352.659999996</v>
      </c>
      <c r="S1431" s="18"/>
    </row>
    <row r="1432" spans="1:19" x14ac:dyDescent="0.25">
      <c r="A1432" s="9" t="s">
        <v>912</v>
      </c>
      <c r="B1432" s="17" t="s">
        <v>1631</v>
      </c>
      <c r="C1432" s="18">
        <f t="shared" si="104"/>
        <v>20387741.5</v>
      </c>
      <c r="D1432" s="18">
        <f>23444.96+15640.01+8713.89</f>
        <v>47798.86</v>
      </c>
      <c r="E1432" s="18"/>
      <c r="F1432" s="18"/>
      <c r="G1432" s="18">
        <v>4432928.8</v>
      </c>
      <c r="H1432" s="18">
        <v>1081620.31</v>
      </c>
      <c r="I1432" s="18">
        <v>1140774.48</v>
      </c>
      <c r="J1432" s="18"/>
      <c r="K1432" s="18"/>
      <c r="L1432" s="10"/>
      <c r="M1432" s="18"/>
      <c r="N1432" s="10" t="s">
        <v>552</v>
      </c>
      <c r="O1432" s="18">
        <v>9976580.5899999999</v>
      </c>
      <c r="P1432" s="18">
        <v>3708038.46</v>
      </c>
      <c r="Q1432" s="18"/>
      <c r="R1432" s="18"/>
      <c r="S1432" s="18"/>
    </row>
    <row r="1433" spans="1:19" x14ac:dyDescent="0.25">
      <c r="A1433" s="9" t="s">
        <v>914</v>
      </c>
      <c r="B1433" s="17" t="s">
        <v>1633</v>
      </c>
      <c r="C1433" s="18">
        <f>ROUNDUP(SUM(D1433+E1433+F1433+G1433+H1433+I1433+J1433+K1433+M1433+O1433+P1433+Q1433+R1433+S1433),2)</f>
        <v>21387105</v>
      </c>
      <c r="D1433" s="18">
        <f>9411.41+15448.9+25281.56</f>
        <v>50141.869999999995</v>
      </c>
      <c r="E1433" s="18"/>
      <c r="F1433" s="18"/>
      <c r="G1433" s="18">
        <v>3738275.72</v>
      </c>
      <c r="H1433" s="18">
        <v>1774630.52</v>
      </c>
      <c r="I1433" s="18">
        <v>1061091.67</v>
      </c>
      <c r="J1433" s="18"/>
      <c r="K1433" s="18"/>
      <c r="L1433" s="10"/>
      <c r="M1433" s="18"/>
      <c r="N1433" s="10" t="s">
        <v>552</v>
      </c>
      <c r="O1433" s="18">
        <v>10758109.02</v>
      </c>
      <c r="P1433" s="18">
        <v>4004856.2</v>
      </c>
      <c r="Q1433" s="18"/>
      <c r="R1433" s="18"/>
      <c r="S1433" s="18"/>
    </row>
    <row r="1434" spans="1:19" x14ac:dyDescent="0.25">
      <c r="A1434" s="9" t="s">
        <v>916</v>
      </c>
      <c r="B1434" s="17" t="s">
        <v>1635</v>
      </c>
      <c r="C1434" s="18">
        <f t="shared" si="104"/>
        <v>29104545.489999998</v>
      </c>
      <c r="D1434" s="18">
        <v>68235.33</v>
      </c>
      <c r="E1434" s="18"/>
      <c r="F1434" s="18"/>
      <c r="G1434" s="18"/>
      <c r="H1434" s="18"/>
      <c r="I1434" s="18"/>
      <c r="J1434" s="18"/>
      <c r="K1434" s="18"/>
      <c r="L1434" s="10"/>
      <c r="M1434" s="18"/>
      <c r="N1434" s="10" t="s">
        <v>552</v>
      </c>
      <c r="O1434" s="18">
        <v>29036310.16</v>
      </c>
      <c r="P1434" s="18"/>
      <c r="Q1434" s="18"/>
      <c r="R1434" s="18"/>
      <c r="S1434" s="18"/>
    </row>
    <row r="1435" spans="1:19" x14ac:dyDescent="0.25">
      <c r="A1435" s="9" t="s">
        <v>918</v>
      </c>
      <c r="B1435" s="17" t="s">
        <v>1637</v>
      </c>
      <c r="C1435" s="18">
        <f t="shared" si="104"/>
        <v>21271061.620000001</v>
      </c>
      <c r="D1435" s="18"/>
      <c r="E1435" s="18"/>
      <c r="F1435" s="18"/>
      <c r="G1435" s="18"/>
      <c r="H1435" s="18"/>
      <c r="I1435" s="18"/>
      <c r="J1435" s="18"/>
      <c r="K1435" s="18"/>
      <c r="L1435" s="10"/>
      <c r="M1435" s="18"/>
      <c r="N1435" s="10" t="s">
        <v>552</v>
      </c>
      <c r="O1435" s="18">
        <v>21271061.620000001</v>
      </c>
      <c r="P1435" s="18"/>
      <c r="Q1435" s="18"/>
      <c r="R1435" s="18"/>
      <c r="S1435" s="18"/>
    </row>
    <row r="1436" spans="1:19" x14ac:dyDescent="0.25">
      <c r="A1436" s="9" t="s">
        <v>920</v>
      </c>
      <c r="B1436" s="17" t="s">
        <v>1639</v>
      </c>
      <c r="C1436" s="18">
        <f t="shared" si="104"/>
        <v>33015259.809999999</v>
      </c>
      <c r="D1436" s="18"/>
      <c r="E1436" s="18"/>
      <c r="F1436" s="18"/>
      <c r="G1436" s="18"/>
      <c r="H1436" s="18"/>
      <c r="I1436" s="18"/>
      <c r="J1436" s="18"/>
      <c r="K1436" s="18"/>
      <c r="L1436" s="10"/>
      <c r="M1436" s="18"/>
      <c r="N1436" s="10"/>
      <c r="O1436" s="18"/>
      <c r="P1436" s="18"/>
      <c r="Q1436" s="18"/>
      <c r="R1436" s="18">
        <v>33015259.809999999</v>
      </c>
      <c r="S1436" s="18"/>
    </row>
    <row r="1437" spans="1:19" x14ac:dyDescent="0.25">
      <c r="A1437" s="9" t="s">
        <v>922</v>
      </c>
      <c r="B1437" s="17" t="s">
        <v>1643</v>
      </c>
      <c r="C1437" s="18">
        <f t="shared" si="104"/>
        <v>26568873.940000001</v>
      </c>
      <c r="D1437" s="18"/>
      <c r="E1437" s="18"/>
      <c r="F1437" s="18"/>
      <c r="G1437" s="18"/>
      <c r="H1437" s="18"/>
      <c r="I1437" s="18"/>
      <c r="J1437" s="18"/>
      <c r="K1437" s="18"/>
      <c r="L1437" s="10"/>
      <c r="M1437" s="18"/>
      <c r="N1437" s="10"/>
      <c r="O1437" s="18"/>
      <c r="P1437" s="18"/>
      <c r="Q1437" s="18"/>
      <c r="R1437" s="18">
        <v>26568873.940000001</v>
      </c>
      <c r="S1437" s="18"/>
    </row>
    <row r="1438" spans="1:19" x14ac:dyDescent="0.25">
      <c r="A1438" s="9" t="s">
        <v>924</v>
      </c>
      <c r="B1438" s="17" t="s">
        <v>1649</v>
      </c>
      <c r="C1438" s="18">
        <f>ROUNDUP(SUM(D1438+E1438+F1438+G1438+H1438+I1438+J1438+K1438+M1438+O1438+P1438+Q1438+R1438+S1438),2)</f>
        <v>16122459.470000001</v>
      </c>
      <c r="D1438" s="18">
        <f>6964.79+21697.16+7708.68+6048.6+2328.18</f>
        <v>44747.41</v>
      </c>
      <c r="E1438" s="18"/>
      <c r="F1438" s="18"/>
      <c r="G1438" s="18">
        <v>2573873.34</v>
      </c>
      <c r="H1438" s="18">
        <v>629122.54</v>
      </c>
      <c r="I1438" s="18">
        <v>361592.54</v>
      </c>
      <c r="J1438" s="18"/>
      <c r="K1438" s="18"/>
      <c r="L1438" s="10"/>
      <c r="M1438" s="18"/>
      <c r="N1438" s="10" t="s">
        <v>552</v>
      </c>
      <c r="O1438" s="18">
        <v>9232832.6899999995</v>
      </c>
      <c r="P1438" s="18">
        <v>3280290.95</v>
      </c>
      <c r="Q1438" s="18"/>
      <c r="R1438" s="18"/>
      <c r="S1438" s="18"/>
    </row>
    <row r="1439" spans="1:19" x14ac:dyDescent="0.25">
      <c r="A1439" s="9" t="s">
        <v>926</v>
      </c>
      <c r="B1439" s="17" t="s">
        <v>1928</v>
      </c>
      <c r="C1439" s="18">
        <f t="shared" si="104"/>
        <v>3572829.65</v>
      </c>
      <c r="D1439" s="18"/>
      <c r="E1439" s="18"/>
      <c r="F1439" s="18">
        <v>3572829.65</v>
      </c>
      <c r="G1439" s="18"/>
      <c r="H1439" s="18"/>
      <c r="I1439" s="18"/>
      <c r="J1439" s="18"/>
      <c r="K1439" s="18"/>
      <c r="L1439" s="10"/>
      <c r="M1439" s="18"/>
      <c r="N1439" s="10"/>
      <c r="O1439" s="18"/>
      <c r="P1439" s="18"/>
      <c r="Q1439" s="18"/>
      <c r="R1439" s="18"/>
      <c r="S1439" s="18"/>
    </row>
    <row r="1440" spans="1:19" x14ac:dyDescent="0.25">
      <c r="A1440" s="9" t="s">
        <v>928</v>
      </c>
      <c r="B1440" s="17" t="s">
        <v>1659</v>
      </c>
      <c r="C1440" s="18">
        <f t="shared" si="104"/>
        <v>9213976.1799999997</v>
      </c>
      <c r="D1440" s="18">
        <v>21602.080000000002</v>
      </c>
      <c r="E1440" s="18"/>
      <c r="F1440" s="18"/>
      <c r="G1440" s="18"/>
      <c r="H1440" s="18"/>
      <c r="I1440" s="18"/>
      <c r="J1440" s="18"/>
      <c r="K1440" s="18"/>
      <c r="L1440" s="10"/>
      <c r="M1440" s="18"/>
      <c r="N1440" s="10" t="s">
        <v>552</v>
      </c>
      <c r="O1440" s="18">
        <v>9192374.0999999996</v>
      </c>
      <c r="P1440" s="18"/>
      <c r="Q1440" s="18"/>
      <c r="R1440" s="18"/>
      <c r="S1440" s="18"/>
    </row>
    <row r="1441" spans="1:19" ht="15" customHeight="1" x14ac:dyDescent="0.25">
      <c r="A1441" s="9" t="s">
        <v>930</v>
      </c>
      <c r="B1441" s="17" t="s">
        <v>1661</v>
      </c>
      <c r="C1441" s="18">
        <f t="shared" si="104"/>
        <v>7178188.7199999997</v>
      </c>
      <c r="D1441" s="18">
        <v>14732.92</v>
      </c>
      <c r="E1441" s="18"/>
      <c r="F1441" s="30">
        <v>894129.8</v>
      </c>
      <c r="G1441" s="18"/>
      <c r="H1441" s="18"/>
      <c r="I1441" s="18"/>
      <c r="J1441" s="18"/>
      <c r="K1441" s="18"/>
      <c r="L1441" s="10"/>
      <c r="M1441" s="18"/>
      <c r="N1441" s="10"/>
      <c r="O1441" s="18"/>
      <c r="P1441" s="18"/>
      <c r="Q1441" s="18">
        <v>6269326</v>
      </c>
      <c r="R1441" s="18"/>
      <c r="S1441" s="18"/>
    </row>
    <row r="1442" spans="1:19" x14ac:dyDescent="0.25">
      <c r="A1442" s="9" t="s">
        <v>932</v>
      </c>
      <c r="B1442" s="17" t="s">
        <v>1665</v>
      </c>
      <c r="C1442" s="18">
        <f t="shared" si="104"/>
        <v>7539494.6799999997</v>
      </c>
      <c r="D1442" s="18">
        <v>17676.27</v>
      </c>
      <c r="E1442" s="18"/>
      <c r="F1442" s="18"/>
      <c r="G1442" s="18"/>
      <c r="H1442" s="18"/>
      <c r="I1442" s="18"/>
      <c r="J1442" s="18"/>
      <c r="K1442" s="18"/>
      <c r="L1442" s="10"/>
      <c r="M1442" s="18"/>
      <c r="N1442" s="10"/>
      <c r="O1442" s="18"/>
      <c r="P1442" s="18"/>
      <c r="Q1442" s="18"/>
      <c r="R1442" s="18">
        <v>7521818.4100000001</v>
      </c>
      <c r="S1442" s="18"/>
    </row>
    <row r="1443" spans="1:19" x14ac:dyDescent="0.25">
      <c r="A1443" s="9" t="s">
        <v>934</v>
      </c>
      <c r="B1443" s="43" t="s">
        <v>1929</v>
      </c>
      <c r="C1443" s="18">
        <f>ROUND(SUM(D1443+E1443+F1443+G1443+H1443:H1947+I1443+J1443+K1443+M1443+O1443+P1443+Q1443+R1443+S1443),2)</f>
        <v>440091.64</v>
      </c>
      <c r="D1443" s="44"/>
      <c r="E1443" s="41"/>
      <c r="F1443" s="45"/>
      <c r="G1443" s="45">
        <v>440091.64</v>
      </c>
      <c r="H1443" s="21"/>
      <c r="I1443" s="21"/>
      <c r="J1443" s="45"/>
      <c r="K1443" s="41"/>
      <c r="L1443" s="32"/>
      <c r="M1443" s="41"/>
      <c r="N1443" s="41"/>
      <c r="O1443" s="41"/>
      <c r="P1443" s="41"/>
      <c r="Q1443" s="41"/>
      <c r="R1443" s="41"/>
      <c r="S1443" s="41"/>
    </row>
    <row r="1444" spans="1:19" x14ac:dyDescent="0.25">
      <c r="A1444" s="9" t="s">
        <v>936</v>
      </c>
      <c r="B1444" s="17" t="s">
        <v>1669</v>
      </c>
      <c r="C1444" s="18">
        <f t="shared" ref="C1444:C1449" si="105">ROUNDUP(SUM(D1444+E1444+F1444+G1444+H1444+I1444+J1444+K1444+M1444+O1444+P1444+Q1444+R1444+S1444),2)</f>
        <v>7846550.0999999996</v>
      </c>
      <c r="D1444" s="18">
        <v>18396.16</v>
      </c>
      <c r="E1444" s="18"/>
      <c r="F1444" s="18"/>
      <c r="G1444" s="18"/>
      <c r="H1444" s="18"/>
      <c r="I1444" s="18"/>
      <c r="J1444" s="18"/>
      <c r="K1444" s="18"/>
      <c r="L1444" s="10"/>
      <c r="M1444" s="18"/>
      <c r="N1444" s="10" t="s">
        <v>552</v>
      </c>
      <c r="O1444" s="18">
        <v>7828153.9400000004</v>
      </c>
      <c r="P1444" s="18"/>
      <c r="Q1444" s="18"/>
      <c r="R1444" s="18"/>
      <c r="S1444" s="18"/>
    </row>
    <row r="1445" spans="1:19" x14ac:dyDescent="0.25">
      <c r="A1445" s="9" t="s">
        <v>938</v>
      </c>
      <c r="B1445" s="17" t="s">
        <v>1671</v>
      </c>
      <c r="C1445" s="18">
        <f t="shared" si="105"/>
        <v>10389553.140000001</v>
      </c>
      <c r="D1445" s="18"/>
      <c r="E1445" s="18"/>
      <c r="F1445" s="18"/>
      <c r="G1445" s="18"/>
      <c r="H1445" s="18"/>
      <c r="I1445" s="18"/>
      <c r="J1445" s="18"/>
      <c r="K1445" s="18"/>
      <c r="L1445" s="10"/>
      <c r="M1445" s="18"/>
      <c r="N1445" s="10"/>
      <c r="O1445" s="18"/>
      <c r="P1445" s="18"/>
      <c r="Q1445" s="18"/>
      <c r="R1445" s="18">
        <v>10389553.140000001</v>
      </c>
      <c r="S1445" s="18"/>
    </row>
    <row r="1446" spans="1:19" ht="16.5" customHeight="1" x14ac:dyDescent="0.25">
      <c r="A1446" s="9" t="s">
        <v>940</v>
      </c>
      <c r="B1446" s="17" t="s">
        <v>1675</v>
      </c>
      <c r="C1446" s="18">
        <f t="shared" si="105"/>
        <v>22186441.43</v>
      </c>
      <c r="D1446" s="18">
        <f>9887.43+16177.22+25951.25</f>
        <v>52015.9</v>
      </c>
      <c r="E1446" s="18"/>
      <c r="F1446" s="18"/>
      <c r="G1446" s="18">
        <v>4072362.45</v>
      </c>
      <c r="H1446" s="18">
        <v>1794455.29</v>
      </c>
      <c r="I1446" s="18">
        <v>1017108.24</v>
      </c>
      <c r="J1446" s="18"/>
      <c r="K1446" s="18"/>
      <c r="L1446" s="10"/>
      <c r="M1446" s="18"/>
      <c r="N1446" s="10" t="s">
        <v>552</v>
      </c>
      <c r="O1446" s="18">
        <v>11043083.57</v>
      </c>
      <c r="P1446" s="18">
        <v>4207415.9800000004</v>
      </c>
      <c r="Q1446" s="18"/>
      <c r="R1446" s="18"/>
      <c r="S1446" s="18"/>
    </row>
    <row r="1447" spans="1:19" x14ac:dyDescent="0.25">
      <c r="A1447" s="9" t="s">
        <v>942</v>
      </c>
      <c r="B1447" s="17" t="s">
        <v>1681</v>
      </c>
      <c r="C1447" s="18">
        <f t="shared" si="105"/>
        <v>5548247.8099999996</v>
      </c>
      <c r="D1447" s="18">
        <f>9212.81+49524.95</f>
        <v>58737.759999999995</v>
      </c>
      <c r="E1447" s="18"/>
      <c r="F1447" s="18">
        <v>746795.16</v>
      </c>
      <c r="G1447" s="18"/>
      <c r="H1447" s="18"/>
      <c r="I1447" s="18"/>
      <c r="J1447" s="18">
        <v>114214.75</v>
      </c>
      <c r="K1447" s="18"/>
      <c r="L1447" s="10"/>
      <c r="M1447" s="18"/>
      <c r="N1447" s="10"/>
      <c r="O1447" s="18"/>
      <c r="P1447" s="18"/>
      <c r="Q1447" s="18">
        <v>4628500.1399999997</v>
      </c>
      <c r="R1447" s="18"/>
      <c r="S1447" s="18"/>
    </row>
    <row r="1448" spans="1:19" x14ac:dyDescent="0.25">
      <c r="A1448" s="9" t="s">
        <v>946</v>
      </c>
      <c r="B1448" s="17" t="s">
        <v>1685</v>
      </c>
      <c r="C1448" s="18">
        <f t="shared" si="105"/>
        <v>4301637.7300000004</v>
      </c>
      <c r="D1448" s="18">
        <v>45540.24</v>
      </c>
      <c r="E1448" s="18"/>
      <c r="F1448" s="18"/>
      <c r="G1448" s="18">
        <v>3303713.97</v>
      </c>
      <c r="H1448" s="18"/>
      <c r="I1448" s="18">
        <v>952383.52</v>
      </c>
      <c r="J1448" s="18"/>
      <c r="K1448" s="18"/>
      <c r="L1448" s="10"/>
      <c r="M1448" s="18"/>
      <c r="N1448" s="10"/>
      <c r="O1448" s="18"/>
      <c r="P1448" s="18"/>
      <c r="Q1448" s="18"/>
      <c r="R1448" s="18"/>
      <c r="S1448" s="18"/>
    </row>
    <row r="1449" spans="1:19" x14ac:dyDescent="0.25">
      <c r="A1449" s="9" t="s">
        <v>948</v>
      </c>
      <c r="B1449" s="17" t="s">
        <v>1683</v>
      </c>
      <c r="C1449" s="18">
        <f t="shared" si="105"/>
        <v>5343984.72</v>
      </c>
      <c r="D1449" s="18">
        <v>56575.28</v>
      </c>
      <c r="E1449" s="18"/>
      <c r="F1449" s="18"/>
      <c r="G1449" s="18"/>
      <c r="H1449" s="18"/>
      <c r="I1449" s="18"/>
      <c r="J1449" s="18"/>
      <c r="K1449" s="18"/>
      <c r="L1449" s="10"/>
      <c r="M1449" s="18"/>
      <c r="N1449" s="10"/>
      <c r="O1449" s="18"/>
      <c r="P1449" s="18"/>
      <c r="Q1449" s="18">
        <v>5287409.4400000004</v>
      </c>
      <c r="R1449" s="18"/>
      <c r="S1449" s="18"/>
    </row>
    <row r="1450" spans="1:19" ht="30" x14ac:dyDescent="0.25">
      <c r="A1450" s="9"/>
      <c r="B1450" s="50" t="s">
        <v>2092</v>
      </c>
      <c r="C1450" s="18">
        <f>ROUND(D1450+E1450+F1450+G1450+H1450+I1450+J1450+K1450+M1450+O1450+P1450+Q1450+R1450+S1450,2)</f>
        <v>762917647.33000004</v>
      </c>
      <c r="D1450" s="18">
        <f t="shared" ref="D1450:S1450" si="106">SUM(D1389:D1449)</f>
        <v>2469420.92</v>
      </c>
      <c r="E1450" s="18">
        <f t="shared" si="106"/>
        <v>0</v>
      </c>
      <c r="F1450" s="18">
        <f t="shared" si="106"/>
        <v>10264550.210000001</v>
      </c>
      <c r="G1450" s="18">
        <f t="shared" si="106"/>
        <v>92052428.469999984</v>
      </c>
      <c r="H1450" s="18">
        <f t="shared" si="106"/>
        <v>23740468.349999998</v>
      </c>
      <c r="I1450" s="18">
        <f t="shared" si="106"/>
        <v>15802772.93</v>
      </c>
      <c r="J1450" s="18">
        <f t="shared" si="106"/>
        <v>1347406.41</v>
      </c>
      <c r="K1450" s="18">
        <f t="shared" si="106"/>
        <v>0</v>
      </c>
      <c r="L1450" s="10">
        <f t="shared" si="106"/>
        <v>0</v>
      </c>
      <c r="M1450" s="18">
        <f t="shared" si="106"/>
        <v>0</v>
      </c>
      <c r="N1450" s="18" t="s">
        <v>42</v>
      </c>
      <c r="O1450" s="18">
        <f t="shared" si="106"/>
        <v>334727254.4600001</v>
      </c>
      <c r="P1450" s="18">
        <f t="shared" si="106"/>
        <v>26731448.789999999</v>
      </c>
      <c r="Q1450" s="18">
        <f t="shared" si="106"/>
        <v>122940426.81</v>
      </c>
      <c r="R1450" s="18">
        <f t="shared" si="106"/>
        <v>132741857.95999999</v>
      </c>
      <c r="S1450" s="18">
        <f t="shared" si="106"/>
        <v>99612.02</v>
      </c>
    </row>
    <row r="1451" spans="1:19" x14ac:dyDescent="0.25">
      <c r="A1451" s="9"/>
      <c r="B1451" s="34" t="s">
        <v>1687</v>
      </c>
      <c r="C1451" s="18"/>
      <c r="D1451" s="46"/>
      <c r="E1451" s="47"/>
      <c r="F1451" s="13"/>
      <c r="G1451" s="13"/>
      <c r="H1451" s="13"/>
      <c r="I1451" s="13"/>
      <c r="J1451" s="13"/>
      <c r="K1451" s="13"/>
      <c r="L1451" s="14"/>
      <c r="M1451" s="13"/>
      <c r="N1451" s="14"/>
      <c r="O1451" s="13"/>
      <c r="P1451" s="13"/>
      <c r="Q1451" s="13"/>
      <c r="R1451" s="13"/>
      <c r="S1451" s="13"/>
    </row>
    <row r="1452" spans="1:19" x14ac:dyDescent="0.25">
      <c r="A1452" s="9" t="s">
        <v>950</v>
      </c>
      <c r="B1452" s="17" t="s">
        <v>1689</v>
      </c>
      <c r="C1452" s="18">
        <f t="shared" ref="C1452:C1468" si="107">ROUNDUP(SUM(D1452+E1452+F1452+G1452+H1452+I1452+J1452+K1452+M1452+O1452+P1452+Q1452+R1452+S1452),2)</f>
        <v>6923909.7800000003</v>
      </c>
      <c r="D1452" s="18">
        <v>13268.43</v>
      </c>
      <c r="E1452" s="18"/>
      <c r="F1452" s="18"/>
      <c r="G1452" s="18"/>
      <c r="H1452" s="18"/>
      <c r="I1452" s="18"/>
      <c r="J1452" s="18"/>
      <c r="K1452" s="18"/>
      <c r="L1452" s="10"/>
      <c r="M1452" s="18"/>
      <c r="N1452" s="10" t="s">
        <v>883</v>
      </c>
      <c r="O1452" s="18">
        <v>6910641.3499999996</v>
      </c>
      <c r="P1452" s="18"/>
      <c r="Q1452" s="18"/>
      <c r="R1452" s="18"/>
      <c r="S1452" s="18"/>
    </row>
    <row r="1453" spans="1:19" x14ac:dyDescent="0.25">
      <c r="A1453" s="9" t="s">
        <v>952</v>
      </c>
      <c r="B1453" s="17" t="s">
        <v>1691</v>
      </c>
      <c r="C1453" s="18">
        <f t="shared" si="107"/>
        <v>6939171.5499999998</v>
      </c>
      <c r="D1453" s="18">
        <v>13297.68</v>
      </c>
      <c r="E1453" s="18"/>
      <c r="F1453" s="18"/>
      <c r="G1453" s="18"/>
      <c r="H1453" s="18"/>
      <c r="I1453" s="18"/>
      <c r="J1453" s="18"/>
      <c r="K1453" s="18"/>
      <c r="L1453" s="10"/>
      <c r="M1453" s="18"/>
      <c r="N1453" s="10" t="s">
        <v>883</v>
      </c>
      <c r="O1453" s="18">
        <v>6925873.8700000001</v>
      </c>
      <c r="P1453" s="18"/>
      <c r="Q1453" s="18"/>
      <c r="R1453" s="18"/>
      <c r="S1453" s="18"/>
    </row>
    <row r="1454" spans="1:19" x14ac:dyDescent="0.25">
      <c r="A1454" s="9" t="s">
        <v>954</v>
      </c>
      <c r="B1454" s="17" t="s">
        <v>1695</v>
      </c>
      <c r="C1454" s="18">
        <f>ROUNDUP(SUM(D1454+E1454+F1454+G1454+H1454+I1454+J1454+K1454+M1454+O1454+P1454+Q1454+R1454+S1454),2)</f>
        <v>25698012.109999999</v>
      </c>
      <c r="D1454" s="18">
        <v>49245.64</v>
      </c>
      <c r="E1454" s="18"/>
      <c r="F1454" s="18"/>
      <c r="G1454" s="18"/>
      <c r="H1454" s="18"/>
      <c r="I1454" s="18"/>
      <c r="J1454" s="18"/>
      <c r="K1454" s="18"/>
      <c r="L1454" s="10"/>
      <c r="M1454" s="18"/>
      <c r="N1454" s="10" t="s">
        <v>883</v>
      </c>
      <c r="O1454" s="18">
        <v>11207711.699999999</v>
      </c>
      <c r="P1454" s="18"/>
      <c r="Q1454" s="18"/>
      <c r="R1454" s="18">
        <v>14441054.77</v>
      </c>
      <c r="S1454" s="18"/>
    </row>
    <row r="1455" spans="1:19" x14ac:dyDescent="0.25">
      <c r="A1455" s="9" t="s">
        <v>956</v>
      </c>
      <c r="B1455" s="17" t="s">
        <v>1701</v>
      </c>
      <c r="C1455" s="18">
        <f t="shared" si="107"/>
        <v>14017914.289999999</v>
      </c>
      <c r="D1455" s="18">
        <v>26862.82</v>
      </c>
      <c r="E1455" s="18"/>
      <c r="F1455" s="18"/>
      <c r="G1455" s="18"/>
      <c r="H1455" s="18"/>
      <c r="I1455" s="18"/>
      <c r="J1455" s="18"/>
      <c r="K1455" s="18"/>
      <c r="L1455" s="10"/>
      <c r="M1455" s="18"/>
      <c r="N1455" s="10"/>
      <c r="O1455" s="18"/>
      <c r="P1455" s="18"/>
      <c r="Q1455" s="18"/>
      <c r="R1455" s="18">
        <v>13991051.470000001</v>
      </c>
      <c r="S1455" s="18"/>
    </row>
    <row r="1456" spans="1:19" x14ac:dyDescent="0.25">
      <c r="A1456" s="9" t="s">
        <v>958</v>
      </c>
      <c r="B1456" s="17" t="s">
        <v>1703</v>
      </c>
      <c r="C1456" s="18">
        <f t="shared" si="107"/>
        <v>14083641.289999999</v>
      </c>
      <c r="D1456" s="18">
        <v>26988.77</v>
      </c>
      <c r="E1456" s="18"/>
      <c r="F1456" s="18"/>
      <c r="G1456" s="18"/>
      <c r="H1456" s="18"/>
      <c r="I1456" s="18"/>
      <c r="J1456" s="18"/>
      <c r="K1456" s="18"/>
      <c r="L1456" s="10"/>
      <c r="M1456" s="18"/>
      <c r="N1456" s="10"/>
      <c r="O1456" s="18"/>
      <c r="P1456" s="18"/>
      <c r="Q1456" s="18"/>
      <c r="R1456" s="18">
        <v>14056652.52</v>
      </c>
      <c r="S1456" s="18"/>
    </row>
    <row r="1457" spans="1:19" x14ac:dyDescent="0.25">
      <c r="A1457" s="9" t="s">
        <v>960</v>
      </c>
      <c r="B1457" s="17" t="s">
        <v>1693</v>
      </c>
      <c r="C1457" s="18">
        <f t="shared" si="107"/>
        <v>2559859.9</v>
      </c>
      <c r="D1457" s="18">
        <v>5644.82</v>
      </c>
      <c r="E1457" s="18"/>
      <c r="F1457" s="18">
        <v>2554215.08</v>
      </c>
      <c r="G1457" s="18"/>
      <c r="H1457" s="18"/>
      <c r="I1457" s="18"/>
      <c r="J1457" s="18"/>
      <c r="K1457" s="18"/>
      <c r="L1457" s="10"/>
      <c r="M1457" s="18"/>
      <c r="N1457" s="10"/>
      <c r="O1457" s="18"/>
      <c r="P1457" s="18"/>
      <c r="Q1457" s="18"/>
      <c r="R1457" s="18"/>
      <c r="S1457" s="18"/>
    </row>
    <row r="1458" spans="1:19" x14ac:dyDescent="0.25">
      <c r="A1458" s="9" t="s">
        <v>962</v>
      </c>
      <c r="B1458" s="17" t="s">
        <v>1709</v>
      </c>
      <c r="C1458" s="18">
        <f t="shared" si="107"/>
        <v>17590468.68</v>
      </c>
      <c r="D1458" s="18">
        <v>38789.21</v>
      </c>
      <c r="E1458" s="18"/>
      <c r="F1458" s="18"/>
      <c r="G1458" s="18"/>
      <c r="H1458" s="18"/>
      <c r="I1458" s="18"/>
      <c r="J1458" s="18"/>
      <c r="K1458" s="18"/>
      <c r="L1458" s="10"/>
      <c r="M1458" s="18"/>
      <c r="N1458" s="10"/>
      <c r="O1458" s="18"/>
      <c r="P1458" s="18"/>
      <c r="Q1458" s="18"/>
      <c r="R1458" s="18">
        <v>17551679.469999999</v>
      </c>
      <c r="S1458" s="18"/>
    </row>
    <row r="1459" spans="1:19" x14ac:dyDescent="0.25">
      <c r="A1459" s="9" t="s">
        <v>964</v>
      </c>
      <c r="B1459" s="17" t="s">
        <v>1711</v>
      </c>
      <c r="C1459" s="18">
        <f t="shared" si="107"/>
        <v>14370878.01</v>
      </c>
      <c r="D1459" s="18">
        <v>27539.21</v>
      </c>
      <c r="E1459" s="18"/>
      <c r="F1459" s="18"/>
      <c r="G1459" s="18"/>
      <c r="H1459" s="18"/>
      <c r="I1459" s="18"/>
      <c r="J1459" s="18"/>
      <c r="K1459" s="18"/>
      <c r="L1459" s="10"/>
      <c r="M1459" s="18"/>
      <c r="N1459" s="10"/>
      <c r="O1459" s="18"/>
      <c r="P1459" s="18"/>
      <c r="Q1459" s="18"/>
      <c r="R1459" s="18">
        <v>14343338.800000001</v>
      </c>
      <c r="S1459" s="18"/>
    </row>
    <row r="1460" spans="1:19" x14ac:dyDescent="0.25">
      <c r="A1460" s="9" t="s">
        <v>966</v>
      </c>
      <c r="B1460" s="17" t="s">
        <v>1713</v>
      </c>
      <c r="C1460" s="18">
        <f t="shared" si="107"/>
        <v>32588207.210000001</v>
      </c>
      <c r="D1460" s="18">
        <v>71861.119999999995</v>
      </c>
      <c r="E1460" s="18"/>
      <c r="F1460" s="18"/>
      <c r="G1460" s="18"/>
      <c r="H1460" s="18"/>
      <c r="I1460" s="18"/>
      <c r="J1460" s="18"/>
      <c r="K1460" s="18"/>
      <c r="L1460" s="10"/>
      <c r="M1460" s="18"/>
      <c r="N1460" s="10" t="s">
        <v>883</v>
      </c>
      <c r="O1460" s="18">
        <v>14672761.98</v>
      </c>
      <c r="P1460" s="18"/>
      <c r="Q1460" s="18"/>
      <c r="R1460" s="18">
        <v>17843584.109999999</v>
      </c>
      <c r="S1460" s="18"/>
    </row>
    <row r="1461" spans="1:19" x14ac:dyDescent="0.25">
      <c r="A1461" s="9" t="s">
        <v>968</v>
      </c>
      <c r="B1461" s="17" t="s">
        <v>1715</v>
      </c>
      <c r="C1461" s="18">
        <f t="shared" si="107"/>
        <v>26018571.989999998</v>
      </c>
      <c r="D1461" s="18">
        <v>49859.93</v>
      </c>
      <c r="E1461" s="18"/>
      <c r="F1461" s="18"/>
      <c r="G1461" s="18"/>
      <c r="H1461" s="18"/>
      <c r="I1461" s="18"/>
      <c r="J1461" s="18"/>
      <c r="K1461" s="18"/>
      <c r="L1461" s="10"/>
      <c r="M1461" s="18"/>
      <c r="N1461" s="10" t="s">
        <v>883</v>
      </c>
      <c r="O1461" s="18">
        <v>11602549.84</v>
      </c>
      <c r="P1461" s="18"/>
      <c r="Q1461" s="18"/>
      <c r="R1461" s="18">
        <v>14366162.220000001</v>
      </c>
      <c r="S1461" s="18"/>
    </row>
    <row r="1462" spans="1:19" x14ac:dyDescent="0.25">
      <c r="A1462" s="9" t="s">
        <v>970</v>
      </c>
      <c r="B1462" s="17" t="s">
        <v>1717</v>
      </c>
      <c r="C1462" s="18">
        <f t="shared" si="107"/>
        <v>13526727.859999999</v>
      </c>
      <c r="D1462" s="18">
        <v>25921.55</v>
      </c>
      <c r="E1462" s="18"/>
      <c r="F1462" s="18"/>
      <c r="G1462" s="18"/>
      <c r="H1462" s="18"/>
      <c r="I1462" s="18"/>
      <c r="J1462" s="18"/>
      <c r="K1462" s="18"/>
      <c r="L1462" s="10"/>
      <c r="M1462" s="18"/>
      <c r="N1462" s="10" t="s">
        <v>883</v>
      </c>
      <c r="O1462" s="18">
        <v>13500806.310000001</v>
      </c>
      <c r="P1462" s="18"/>
      <c r="Q1462" s="18"/>
      <c r="R1462" s="18"/>
      <c r="S1462" s="18"/>
    </row>
    <row r="1463" spans="1:19" x14ac:dyDescent="0.25">
      <c r="A1463" s="9" t="s">
        <v>972</v>
      </c>
      <c r="B1463" s="17" t="s">
        <v>1719</v>
      </c>
      <c r="C1463" s="18">
        <f t="shared" si="107"/>
        <v>13706962.51</v>
      </c>
      <c r="D1463" s="18">
        <f>24910.54+5315.05</f>
        <v>30225.59</v>
      </c>
      <c r="E1463" s="18"/>
      <c r="F1463" s="18"/>
      <c r="G1463" s="18">
        <v>2404999.5699999998</v>
      </c>
      <c r="H1463" s="18"/>
      <c r="I1463" s="18"/>
      <c r="J1463" s="18"/>
      <c r="K1463" s="18"/>
      <c r="L1463" s="10"/>
      <c r="M1463" s="18"/>
      <c r="N1463" s="10" t="s">
        <v>883</v>
      </c>
      <c r="O1463" s="18">
        <v>11271737.35</v>
      </c>
      <c r="P1463" s="18"/>
      <c r="Q1463" s="18"/>
      <c r="R1463" s="18"/>
      <c r="S1463" s="18"/>
    </row>
    <row r="1464" spans="1:19" ht="15" customHeight="1" x14ac:dyDescent="0.25">
      <c r="A1464" s="9" t="s">
        <v>974</v>
      </c>
      <c r="B1464" s="17" t="s">
        <v>1930</v>
      </c>
      <c r="C1464" s="18">
        <f t="shared" si="107"/>
        <v>12109076.51</v>
      </c>
      <c r="D1464" s="18">
        <v>253704.95</v>
      </c>
      <c r="E1464" s="18"/>
      <c r="F1464" s="18"/>
      <c r="G1464" s="18"/>
      <c r="H1464" s="18"/>
      <c r="I1464" s="18"/>
      <c r="J1464" s="18"/>
      <c r="K1464" s="18"/>
      <c r="L1464" s="10"/>
      <c r="M1464" s="18"/>
      <c r="N1464" s="10" t="s">
        <v>1931</v>
      </c>
      <c r="O1464" s="18">
        <v>11855371.560000001</v>
      </c>
      <c r="P1464" s="18"/>
      <c r="Q1464" s="18"/>
      <c r="R1464" s="18"/>
      <c r="S1464" s="18"/>
    </row>
    <row r="1465" spans="1:19" x14ac:dyDescent="0.25">
      <c r="A1465" s="9" t="s">
        <v>976</v>
      </c>
      <c r="B1465" s="17" t="s">
        <v>1721</v>
      </c>
      <c r="C1465" s="18">
        <f t="shared" si="107"/>
        <v>3930399.46</v>
      </c>
      <c r="D1465" s="18">
        <v>8667.0300000000007</v>
      </c>
      <c r="E1465" s="18"/>
      <c r="F1465" s="18"/>
      <c r="G1465" s="18"/>
      <c r="H1465" s="18"/>
      <c r="I1465" s="18"/>
      <c r="J1465" s="18"/>
      <c r="K1465" s="18"/>
      <c r="L1465" s="10"/>
      <c r="M1465" s="18"/>
      <c r="N1465" s="10" t="s">
        <v>552</v>
      </c>
      <c r="O1465" s="18">
        <v>3921732.43</v>
      </c>
      <c r="P1465" s="18"/>
      <c r="Q1465" s="18"/>
      <c r="R1465" s="18"/>
      <c r="S1465" s="18"/>
    </row>
    <row r="1466" spans="1:19" x14ac:dyDescent="0.25">
      <c r="A1466" s="9" t="s">
        <v>978</v>
      </c>
      <c r="B1466" s="17" t="s">
        <v>1723</v>
      </c>
      <c r="C1466" s="18">
        <f t="shared" si="107"/>
        <v>10736641.75</v>
      </c>
      <c r="D1466" s="18">
        <v>20574.849999999999</v>
      </c>
      <c r="E1466" s="18"/>
      <c r="F1466" s="18"/>
      <c r="G1466" s="18"/>
      <c r="H1466" s="18"/>
      <c r="I1466" s="18"/>
      <c r="J1466" s="18"/>
      <c r="K1466" s="18"/>
      <c r="L1466" s="10"/>
      <c r="M1466" s="18"/>
      <c r="N1466" s="10"/>
      <c r="O1466" s="18"/>
      <c r="P1466" s="18"/>
      <c r="Q1466" s="18"/>
      <c r="R1466" s="18">
        <v>10716066.9</v>
      </c>
      <c r="S1466" s="18"/>
    </row>
    <row r="1467" spans="1:19" ht="15" customHeight="1" x14ac:dyDescent="0.25">
      <c r="A1467" s="9" t="s">
        <v>980</v>
      </c>
      <c r="B1467" s="17" t="s">
        <v>1725</v>
      </c>
      <c r="C1467" s="18">
        <f t="shared" si="107"/>
        <v>14478747.75</v>
      </c>
      <c r="D1467" s="18">
        <v>31927.47</v>
      </c>
      <c r="E1467" s="18"/>
      <c r="F1467" s="18"/>
      <c r="G1467" s="18"/>
      <c r="H1467" s="18"/>
      <c r="I1467" s="18"/>
      <c r="J1467" s="18"/>
      <c r="K1467" s="18"/>
      <c r="L1467" s="10"/>
      <c r="M1467" s="18"/>
      <c r="N1467" s="10"/>
      <c r="O1467" s="18"/>
      <c r="P1467" s="18"/>
      <c r="Q1467" s="18"/>
      <c r="R1467" s="18">
        <v>14446820.279999999</v>
      </c>
      <c r="S1467" s="18"/>
    </row>
    <row r="1468" spans="1:19" ht="15" customHeight="1" x14ac:dyDescent="0.25">
      <c r="A1468" s="9" t="s">
        <v>982</v>
      </c>
      <c r="B1468" s="17" t="s">
        <v>1727</v>
      </c>
      <c r="C1468" s="18">
        <f t="shared" si="107"/>
        <v>7154098.4100000001</v>
      </c>
      <c r="D1468" s="18">
        <v>13709.55</v>
      </c>
      <c r="E1468" s="18"/>
      <c r="F1468" s="18"/>
      <c r="G1468" s="18"/>
      <c r="H1468" s="18"/>
      <c r="I1468" s="18"/>
      <c r="J1468" s="18"/>
      <c r="K1468" s="18"/>
      <c r="L1468" s="10"/>
      <c r="M1468" s="18"/>
      <c r="N1468" s="10" t="s">
        <v>883</v>
      </c>
      <c r="O1468" s="18">
        <v>7140388.8600000003</v>
      </c>
      <c r="P1468" s="18"/>
      <c r="Q1468" s="18"/>
      <c r="R1468" s="18"/>
      <c r="S1468" s="18"/>
    </row>
    <row r="1469" spans="1:19" x14ac:dyDescent="0.25">
      <c r="A1469" s="33"/>
      <c r="B1469" s="33" t="s">
        <v>1932</v>
      </c>
      <c r="C1469" s="18">
        <f>ROUND(D1469+E1469+F1469+G1469+H1469+I1469+J1469+K1469+M1469+O1469+P1469+Q1469+R1469+S1469,2)</f>
        <v>236433289.06</v>
      </c>
      <c r="D1469" s="18">
        <f t="shared" ref="D1469:S1469" si="108">SUM(D1452:D1468)</f>
        <v>708088.62</v>
      </c>
      <c r="E1469" s="18">
        <f t="shared" si="108"/>
        <v>0</v>
      </c>
      <c r="F1469" s="18">
        <f t="shared" si="108"/>
        <v>2554215.08</v>
      </c>
      <c r="G1469" s="18">
        <f t="shared" si="108"/>
        <v>2404999.5699999998</v>
      </c>
      <c r="H1469" s="18">
        <f t="shared" si="108"/>
        <v>0</v>
      </c>
      <c r="I1469" s="18">
        <f t="shared" si="108"/>
        <v>0</v>
      </c>
      <c r="J1469" s="18">
        <f t="shared" si="108"/>
        <v>0</v>
      </c>
      <c r="K1469" s="18">
        <f t="shared" si="108"/>
        <v>0</v>
      </c>
      <c r="L1469" s="10">
        <f t="shared" si="108"/>
        <v>0</v>
      </c>
      <c r="M1469" s="18">
        <f t="shared" si="108"/>
        <v>0</v>
      </c>
      <c r="N1469" s="18" t="s">
        <v>42</v>
      </c>
      <c r="O1469" s="18">
        <f t="shared" si="108"/>
        <v>99009575.25</v>
      </c>
      <c r="P1469" s="18">
        <f t="shared" si="108"/>
        <v>0</v>
      </c>
      <c r="Q1469" s="18">
        <f t="shared" si="108"/>
        <v>0</v>
      </c>
      <c r="R1469" s="18">
        <f t="shared" si="108"/>
        <v>131756410.54000001</v>
      </c>
      <c r="S1469" s="18">
        <f t="shared" si="108"/>
        <v>0</v>
      </c>
    </row>
    <row r="1470" spans="1:19" x14ac:dyDescent="0.25">
      <c r="A1470" s="34"/>
      <c r="B1470" s="34" t="s">
        <v>1933</v>
      </c>
      <c r="C1470" s="18"/>
      <c r="D1470" s="13"/>
      <c r="E1470" s="13"/>
      <c r="F1470" s="13"/>
      <c r="G1470" s="13"/>
      <c r="H1470" s="13"/>
      <c r="I1470" s="13"/>
      <c r="J1470" s="13"/>
      <c r="K1470" s="13"/>
      <c r="L1470" s="14"/>
      <c r="M1470" s="13"/>
      <c r="N1470" s="14"/>
      <c r="O1470" s="13"/>
      <c r="P1470" s="13"/>
      <c r="Q1470" s="13"/>
      <c r="R1470" s="13"/>
      <c r="S1470" s="13"/>
    </row>
    <row r="1471" spans="1:19" x14ac:dyDescent="0.25">
      <c r="A1471" s="53">
        <v>466</v>
      </c>
      <c r="B1471" s="17" t="s">
        <v>1739</v>
      </c>
      <c r="C1471" s="18">
        <f t="shared" ref="C1471:C1486" si="109">ROUNDUP(SUM(D1471+E1471+F1471+G1471+H1471+I1471+J1471+K1471+M1471+O1471+P1471+Q1471+R1471+S1471),2)</f>
        <v>1955227.38</v>
      </c>
      <c r="D1471" s="18"/>
      <c r="E1471" s="18">
        <v>577518.19999999995</v>
      </c>
      <c r="F1471" s="13"/>
      <c r="G1471" s="13"/>
      <c r="H1471" s="18"/>
      <c r="I1471" s="18"/>
      <c r="J1471" s="18">
        <v>1377709.18</v>
      </c>
      <c r="K1471" s="13"/>
      <c r="L1471" s="14"/>
      <c r="M1471" s="13"/>
      <c r="N1471" s="14"/>
      <c r="O1471" s="13"/>
      <c r="P1471" s="13"/>
      <c r="Q1471" s="18"/>
      <c r="R1471" s="18"/>
      <c r="S1471" s="13"/>
    </row>
    <row r="1472" spans="1:19" x14ac:dyDescent="0.25">
      <c r="A1472" s="53">
        <v>467</v>
      </c>
      <c r="B1472" s="17" t="s">
        <v>1741</v>
      </c>
      <c r="C1472" s="18">
        <f t="shared" si="109"/>
        <v>2429099.35</v>
      </c>
      <c r="D1472" s="18">
        <v>20950.89</v>
      </c>
      <c r="E1472" s="18"/>
      <c r="F1472" s="18"/>
      <c r="G1472" s="18">
        <v>1338275.6100000001</v>
      </c>
      <c r="H1472" s="18">
        <v>804535.07</v>
      </c>
      <c r="I1472" s="18">
        <v>265337.78000000003</v>
      </c>
      <c r="J1472" s="18"/>
      <c r="K1472" s="18"/>
      <c r="L1472" s="10"/>
      <c r="M1472" s="18"/>
      <c r="N1472" s="10"/>
      <c r="O1472" s="18"/>
      <c r="P1472" s="18"/>
      <c r="Q1472" s="18"/>
      <c r="R1472" s="18"/>
      <c r="S1472" s="18"/>
    </row>
    <row r="1473" spans="1:19" ht="15" customHeight="1" x14ac:dyDescent="0.25">
      <c r="A1473" s="53">
        <v>468</v>
      </c>
      <c r="B1473" s="17" t="s">
        <v>1747</v>
      </c>
      <c r="C1473" s="18">
        <f t="shared" si="109"/>
        <v>6101991.8899999997</v>
      </c>
      <c r="D1473" s="18">
        <v>0</v>
      </c>
      <c r="E1473" s="18"/>
      <c r="F1473" s="18">
        <v>1097659.3999999999</v>
      </c>
      <c r="G1473" s="18"/>
      <c r="H1473" s="18"/>
      <c r="I1473" s="18"/>
      <c r="J1473" s="18">
        <v>592049.89</v>
      </c>
      <c r="K1473" s="18"/>
      <c r="L1473" s="10"/>
      <c r="M1473" s="18"/>
      <c r="N1473" s="10"/>
      <c r="O1473" s="18"/>
      <c r="P1473" s="18"/>
      <c r="Q1473" s="18">
        <v>4412282.5999999996</v>
      </c>
      <c r="R1473" s="18"/>
      <c r="S1473" s="18"/>
    </row>
    <row r="1474" spans="1:19" ht="15" customHeight="1" x14ac:dyDescent="0.25">
      <c r="A1474" s="53">
        <v>469</v>
      </c>
      <c r="B1474" s="17" t="s">
        <v>1755</v>
      </c>
      <c r="C1474" s="18">
        <f t="shared" si="109"/>
        <v>100267.42</v>
      </c>
      <c r="D1474" s="18"/>
      <c r="E1474" s="18">
        <v>100267.42</v>
      </c>
      <c r="F1474" s="18"/>
      <c r="G1474" s="18"/>
      <c r="H1474" s="18"/>
      <c r="I1474" s="18"/>
      <c r="J1474" s="18"/>
      <c r="K1474" s="18"/>
      <c r="L1474" s="10"/>
      <c r="M1474" s="18"/>
      <c r="N1474" s="10"/>
      <c r="O1474" s="18"/>
      <c r="P1474" s="18"/>
      <c r="Q1474" s="18"/>
      <c r="R1474" s="18"/>
      <c r="S1474" s="18"/>
    </row>
    <row r="1475" spans="1:19" x14ac:dyDescent="0.25">
      <c r="A1475" s="53">
        <v>470</v>
      </c>
      <c r="B1475" s="17" t="s">
        <v>1934</v>
      </c>
      <c r="C1475" s="18">
        <f t="shared" si="109"/>
        <v>9918048.1999999993</v>
      </c>
      <c r="D1475" s="18">
        <v>0</v>
      </c>
      <c r="E1475" s="18"/>
      <c r="F1475" s="18"/>
      <c r="G1475" s="18"/>
      <c r="H1475" s="18"/>
      <c r="I1475" s="18"/>
      <c r="J1475" s="18"/>
      <c r="K1475" s="18"/>
      <c r="L1475" s="10"/>
      <c r="M1475" s="18"/>
      <c r="N1475" s="10" t="s">
        <v>883</v>
      </c>
      <c r="O1475" s="18">
        <v>9918048.1999999993</v>
      </c>
      <c r="P1475" s="18"/>
      <c r="Q1475" s="18"/>
      <c r="R1475" s="18"/>
      <c r="S1475" s="18"/>
    </row>
    <row r="1476" spans="1:19" x14ac:dyDescent="0.25">
      <c r="A1476" s="53">
        <v>471</v>
      </c>
      <c r="B1476" s="17" t="s">
        <v>1761</v>
      </c>
      <c r="C1476" s="18">
        <f t="shared" si="109"/>
        <v>6504032.3099999996</v>
      </c>
      <c r="D1476" s="18">
        <v>56097.03</v>
      </c>
      <c r="E1476" s="18"/>
      <c r="F1476" s="18"/>
      <c r="G1476" s="18">
        <v>4272205.03</v>
      </c>
      <c r="H1476" s="18">
        <v>1542602.77</v>
      </c>
      <c r="I1476" s="18">
        <v>633127.48</v>
      </c>
      <c r="J1476" s="18"/>
      <c r="K1476" s="18"/>
      <c r="L1476" s="10"/>
      <c r="M1476" s="18"/>
      <c r="N1476" s="10"/>
      <c r="O1476" s="18"/>
      <c r="P1476" s="18"/>
      <c r="Q1476" s="18"/>
      <c r="R1476" s="18"/>
      <c r="S1476" s="18"/>
    </row>
    <row r="1477" spans="1:19" x14ac:dyDescent="0.25">
      <c r="A1477" s="53">
        <v>472</v>
      </c>
      <c r="B1477" s="17" t="s">
        <v>1771</v>
      </c>
      <c r="C1477" s="18">
        <f t="shared" si="109"/>
        <v>7507811.4400000004</v>
      </c>
      <c r="D1477" s="18">
        <v>0</v>
      </c>
      <c r="E1477" s="18"/>
      <c r="F1477" s="18">
        <v>727690.25</v>
      </c>
      <c r="G1477" s="18"/>
      <c r="H1477" s="18"/>
      <c r="I1477" s="18"/>
      <c r="J1477" s="18"/>
      <c r="K1477" s="18"/>
      <c r="L1477" s="10"/>
      <c r="M1477" s="18"/>
      <c r="N1477" s="10" t="s">
        <v>883</v>
      </c>
      <c r="O1477" s="18">
        <v>6780121.1900000004</v>
      </c>
      <c r="P1477" s="18"/>
      <c r="Q1477" s="18"/>
      <c r="R1477" s="18"/>
      <c r="S1477" s="18"/>
    </row>
    <row r="1478" spans="1:19" x14ac:dyDescent="0.25">
      <c r="A1478" s="53">
        <v>473</v>
      </c>
      <c r="B1478" s="17" t="s">
        <v>1777</v>
      </c>
      <c r="C1478" s="18">
        <f t="shared" si="109"/>
        <v>64059.44</v>
      </c>
      <c r="D1478" s="18"/>
      <c r="E1478" s="18">
        <v>64059.44</v>
      </c>
      <c r="F1478" s="18"/>
      <c r="G1478" s="18"/>
      <c r="H1478" s="18"/>
      <c r="I1478" s="18"/>
      <c r="J1478" s="18"/>
      <c r="K1478" s="18"/>
      <c r="L1478" s="10"/>
      <c r="M1478" s="18"/>
      <c r="N1478" s="10"/>
      <c r="O1478" s="18"/>
      <c r="P1478" s="18"/>
      <c r="Q1478" s="18"/>
      <c r="R1478" s="18"/>
      <c r="S1478" s="18"/>
    </row>
    <row r="1479" spans="1:19" x14ac:dyDescent="0.25">
      <c r="A1479" s="53">
        <v>474</v>
      </c>
      <c r="B1479" s="17" t="s">
        <v>1779</v>
      </c>
      <c r="C1479" s="18">
        <f t="shared" si="109"/>
        <v>10651534.939999999</v>
      </c>
      <c r="D1479" s="18">
        <v>532.54999999999995</v>
      </c>
      <c r="E1479" s="18"/>
      <c r="F1479" s="18"/>
      <c r="G1479" s="18"/>
      <c r="H1479" s="18"/>
      <c r="I1479" s="18"/>
      <c r="J1479" s="18"/>
      <c r="K1479" s="18"/>
      <c r="L1479" s="10"/>
      <c r="M1479" s="18"/>
      <c r="N1479" s="10" t="s">
        <v>883</v>
      </c>
      <c r="O1479" s="18">
        <v>7907710.4100000001</v>
      </c>
      <c r="P1479" s="18"/>
      <c r="Q1479" s="18">
        <v>2743291.98</v>
      </c>
      <c r="R1479" s="18"/>
      <c r="S1479" s="18"/>
    </row>
    <row r="1480" spans="1:19" ht="15" customHeight="1" x14ac:dyDescent="0.25">
      <c r="A1480" s="53">
        <v>475</v>
      </c>
      <c r="B1480" s="17" t="s">
        <v>1787</v>
      </c>
      <c r="C1480" s="18">
        <f t="shared" si="109"/>
        <v>44606436.140000001</v>
      </c>
      <c r="D1480" s="18"/>
      <c r="E1480" s="18"/>
      <c r="F1480" s="18"/>
      <c r="G1480" s="18"/>
      <c r="H1480" s="18"/>
      <c r="I1480" s="18"/>
      <c r="J1480" s="18"/>
      <c r="K1480" s="18"/>
      <c r="L1480" s="10"/>
      <c r="M1480" s="18"/>
      <c r="N1480" s="10" t="s">
        <v>1931</v>
      </c>
      <c r="O1480" s="18">
        <v>44606436.140000001</v>
      </c>
      <c r="P1480" s="18"/>
      <c r="Q1480" s="18"/>
      <c r="R1480" s="18"/>
      <c r="S1480" s="18"/>
    </row>
    <row r="1481" spans="1:19" x14ac:dyDescent="0.25">
      <c r="A1481" s="53">
        <v>476</v>
      </c>
      <c r="B1481" s="17" t="s">
        <v>1789</v>
      </c>
      <c r="C1481" s="18">
        <f t="shared" si="109"/>
        <v>9391989.3200000003</v>
      </c>
      <c r="D1481" s="18">
        <v>0</v>
      </c>
      <c r="E1481" s="18"/>
      <c r="F1481" s="18"/>
      <c r="G1481" s="18"/>
      <c r="H1481" s="18"/>
      <c r="I1481" s="18"/>
      <c r="J1481" s="18"/>
      <c r="K1481" s="18"/>
      <c r="L1481" s="10"/>
      <c r="M1481" s="18"/>
      <c r="N1481" s="10" t="s">
        <v>883</v>
      </c>
      <c r="O1481" s="18">
        <v>9391989.3200000003</v>
      </c>
      <c r="P1481" s="18"/>
      <c r="Q1481" s="18"/>
      <c r="R1481" s="18"/>
      <c r="S1481" s="18"/>
    </row>
    <row r="1482" spans="1:19" x14ac:dyDescent="0.25">
      <c r="A1482" s="53">
        <v>477</v>
      </c>
      <c r="B1482" s="17" t="s">
        <v>1793</v>
      </c>
      <c r="C1482" s="18">
        <f t="shared" si="109"/>
        <v>6918052.2800000003</v>
      </c>
      <c r="D1482" s="18">
        <v>59667.94</v>
      </c>
      <c r="E1482" s="18"/>
      <c r="F1482" s="18"/>
      <c r="G1482" s="18">
        <v>5282876.41</v>
      </c>
      <c r="H1482" s="18">
        <v>1052110.81</v>
      </c>
      <c r="I1482" s="18">
        <v>523397.12</v>
      </c>
      <c r="J1482" s="18"/>
      <c r="K1482" s="18"/>
      <c r="L1482" s="10"/>
      <c r="M1482" s="18"/>
      <c r="N1482" s="10"/>
      <c r="O1482" s="18"/>
      <c r="P1482" s="18"/>
      <c r="Q1482" s="18"/>
      <c r="R1482" s="18"/>
      <c r="S1482" s="18"/>
    </row>
    <row r="1483" spans="1:19" x14ac:dyDescent="0.25">
      <c r="A1483" s="53">
        <v>478</v>
      </c>
      <c r="B1483" s="17" t="s">
        <v>1791</v>
      </c>
      <c r="C1483" s="18">
        <f t="shared" si="109"/>
        <v>2692737.61</v>
      </c>
      <c r="D1483" s="18">
        <v>37293.300000000003</v>
      </c>
      <c r="E1483" s="18"/>
      <c r="F1483" s="18"/>
      <c r="G1483" s="18">
        <v>2655444.31</v>
      </c>
      <c r="H1483" s="18"/>
      <c r="I1483" s="18"/>
      <c r="J1483" s="18"/>
      <c r="K1483" s="18"/>
      <c r="L1483" s="10"/>
      <c r="M1483" s="18"/>
      <c r="N1483" s="10"/>
      <c r="O1483" s="18"/>
      <c r="P1483" s="18"/>
      <c r="Q1483" s="18"/>
      <c r="R1483" s="18"/>
      <c r="S1483" s="18"/>
    </row>
    <row r="1484" spans="1:19" x14ac:dyDescent="0.25">
      <c r="A1484" s="53">
        <v>479</v>
      </c>
      <c r="B1484" s="17" t="s">
        <v>1935</v>
      </c>
      <c r="C1484" s="18">
        <f t="shared" si="109"/>
        <v>180424.43</v>
      </c>
      <c r="D1484" s="18"/>
      <c r="E1484" s="18">
        <v>180424.43</v>
      </c>
      <c r="F1484" s="18"/>
      <c r="G1484" s="18"/>
      <c r="H1484" s="18"/>
      <c r="I1484" s="18"/>
      <c r="J1484" s="18"/>
      <c r="K1484" s="18"/>
      <c r="L1484" s="10"/>
      <c r="M1484" s="18"/>
      <c r="N1484" s="10"/>
      <c r="O1484" s="18"/>
      <c r="P1484" s="18"/>
      <c r="Q1484" s="18"/>
      <c r="R1484" s="18"/>
      <c r="S1484" s="18"/>
    </row>
    <row r="1485" spans="1:19" x14ac:dyDescent="0.25">
      <c r="A1485" s="53">
        <v>480</v>
      </c>
      <c r="B1485" s="17" t="s">
        <v>1813</v>
      </c>
      <c r="C1485" s="18">
        <f t="shared" si="109"/>
        <v>4008023.44</v>
      </c>
      <c r="D1485" s="18">
        <v>34569.050000000003</v>
      </c>
      <c r="E1485" s="18"/>
      <c r="F1485" s="18"/>
      <c r="G1485" s="18">
        <v>3973454.39</v>
      </c>
      <c r="H1485" s="18"/>
      <c r="I1485" s="18"/>
      <c r="J1485" s="18"/>
      <c r="K1485" s="18"/>
      <c r="L1485" s="10"/>
      <c r="M1485" s="18"/>
      <c r="N1485" s="10"/>
      <c r="O1485" s="18"/>
      <c r="P1485" s="18"/>
      <c r="Q1485" s="18"/>
      <c r="R1485" s="18"/>
      <c r="S1485" s="18"/>
    </row>
    <row r="1486" spans="1:19" x14ac:dyDescent="0.25">
      <c r="A1486" s="53">
        <v>481</v>
      </c>
      <c r="B1486" s="17" t="s">
        <v>1815</v>
      </c>
      <c r="C1486" s="18">
        <f t="shared" si="109"/>
        <v>29785489.559999999</v>
      </c>
      <c r="D1486" s="18">
        <v>1489.2</v>
      </c>
      <c r="E1486" s="18"/>
      <c r="F1486" s="18"/>
      <c r="G1486" s="18"/>
      <c r="H1486" s="18"/>
      <c r="I1486" s="18"/>
      <c r="J1486" s="18"/>
      <c r="K1486" s="18"/>
      <c r="L1486" s="10"/>
      <c r="M1486" s="18"/>
      <c r="N1486" s="10"/>
      <c r="O1486" s="18"/>
      <c r="P1486" s="18"/>
      <c r="Q1486" s="18"/>
      <c r="R1486" s="18">
        <v>29784000.359999999</v>
      </c>
      <c r="S1486" s="18"/>
    </row>
    <row r="1487" spans="1:19" ht="30" x14ac:dyDescent="0.25">
      <c r="A1487" s="9"/>
      <c r="B1487" s="9" t="s">
        <v>1936</v>
      </c>
      <c r="C1487" s="18">
        <f>ROUND(D1487+E1487+F1487+G1487+H1487+I1487+J1487+K1487+M1487+O1487+P1487+Q1487+R1487+S1487,2)</f>
        <v>142815225.15000001</v>
      </c>
      <c r="D1487" s="18">
        <f t="shared" ref="D1487:S1487" si="110">SUM(D1471:D1486)</f>
        <v>210599.96000000002</v>
      </c>
      <c r="E1487" s="18">
        <f t="shared" si="110"/>
        <v>922269.49</v>
      </c>
      <c r="F1487" s="18">
        <f t="shared" si="110"/>
        <v>1825349.65</v>
      </c>
      <c r="G1487" s="18">
        <f t="shared" si="110"/>
        <v>17522255.75</v>
      </c>
      <c r="H1487" s="18">
        <f t="shared" si="110"/>
        <v>3399248.65</v>
      </c>
      <c r="I1487" s="18">
        <f t="shared" si="110"/>
        <v>1421862.38</v>
      </c>
      <c r="J1487" s="18">
        <f t="shared" si="110"/>
        <v>1969759.0699999998</v>
      </c>
      <c r="K1487" s="18">
        <f t="shared" si="110"/>
        <v>0</v>
      </c>
      <c r="L1487" s="10">
        <f t="shared" si="110"/>
        <v>0</v>
      </c>
      <c r="M1487" s="18">
        <f t="shared" si="110"/>
        <v>0</v>
      </c>
      <c r="N1487" s="18" t="s">
        <v>42</v>
      </c>
      <c r="O1487" s="18">
        <f t="shared" si="110"/>
        <v>78604305.25999999</v>
      </c>
      <c r="P1487" s="18">
        <f t="shared" si="110"/>
        <v>0</v>
      </c>
      <c r="Q1487" s="18">
        <f t="shared" si="110"/>
        <v>7155574.5800000001</v>
      </c>
      <c r="R1487" s="18">
        <f t="shared" si="110"/>
        <v>29784000.359999999</v>
      </c>
      <c r="S1487" s="18">
        <f t="shared" si="110"/>
        <v>0</v>
      </c>
    </row>
    <row r="1488" spans="1:19" x14ac:dyDescent="0.25">
      <c r="A1488" s="9"/>
      <c r="B1488" s="9" t="s">
        <v>1831</v>
      </c>
      <c r="C1488" s="18"/>
      <c r="D1488" s="13"/>
      <c r="E1488" s="13"/>
      <c r="F1488" s="13"/>
      <c r="G1488" s="13"/>
      <c r="H1488" s="13"/>
      <c r="I1488" s="13"/>
      <c r="J1488" s="13"/>
      <c r="K1488" s="13"/>
      <c r="L1488" s="14"/>
      <c r="M1488" s="13"/>
      <c r="N1488" s="14"/>
      <c r="O1488" s="13"/>
      <c r="P1488" s="13"/>
      <c r="Q1488" s="13"/>
      <c r="R1488" s="13"/>
      <c r="S1488" s="13"/>
    </row>
    <row r="1489" spans="1:19" x14ac:dyDescent="0.25">
      <c r="A1489" s="9" t="s">
        <v>1018</v>
      </c>
      <c r="B1489" s="17" t="s">
        <v>1845</v>
      </c>
      <c r="C1489" s="18">
        <f t="shared" ref="C1489:C1505" si="111">ROUNDUP(SUM(D1489+E1489+F1489+G1489+H1489+I1489+J1489+K1489+M1489+O1489+P1489+Q1489+R1489+S1489),2)</f>
        <v>5156684.78</v>
      </c>
      <c r="D1489" s="18">
        <v>103.13</v>
      </c>
      <c r="E1489" s="18"/>
      <c r="F1489" s="18"/>
      <c r="G1489" s="18">
        <v>5156581.6500000004</v>
      </c>
      <c r="H1489" s="18"/>
      <c r="I1489" s="18"/>
      <c r="J1489" s="18"/>
      <c r="K1489" s="18"/>
      <c r="L1489" s="10"/>
      <c r="M1489" s="18"/>
      <c r="N1489" s="10"/>
      <c r="O1489" s="18"/>
      <c r="P1489" s="18"/>
      <c r="Q1489" s="18"/>
      <c r="R1489" s="18"/>
      <c r="S1489" s="18"/>
    </row>
    <row r="1490" spans="1:19" x14ac:dyDescent="0.25">
      <c r="A1490" s="9" t="s">
        <v>1020</v>
      </c>
      <c r="B1490" s="17" t="s">
        <v>1847</v>
      </c>
      <c r="C1490" s="18">
        <f t="shared" si="111"/>
        <v>4762118.58</v>
      </c>
      <c r="D1490" s="18">
        <v>95.24</v>
      </c>
      <c r="E1490" s="18"/>
      <c r="F1490" s="18"/>
      <c r="G1490" s="18"/>
      <c r="H1490" s="18"/>
      <c r="I1490" s="18"/>
      <c r="J1490" s="18"/>
      <c r="K1490" s="18"/>
      <c r="L1490" s="10"/>
      <c r="M1490" s="18"/>
      <c r="N1490" s="10" t="s">
        <v>883</v>
      </c>
      <c r="O1490" s="18">
        <v>4762023.34</v>
      </c>
      <c r="P1490" s="18"/>
      <c r="Q1490" s="18"/>
      <c r="R1490" s="18"/>
      <c r="S1490" s="18"/>
    </row>
    <row r="1491" spans="1:19" x14ac:dyDescent="0.25">
      <c r="A1491" s="9" t="s">
        <v>1022</v>
      </c>
      <c r="B1491" s="17" t="s">
        <v>1851</v>
      </c>
      <c r="C1491" s="18">
        <f t="shared" si="111"/>
        <v>13334651.550000001</v>
      </c>
      <c r="D1491" s="18">
        <v>266.69</v>
      </c>
      <c r="E1491" s="18"/>
      <c r="F1491" s="18"/>
      <c r="G1491" s="18"/>
      <c r="H1491" s="18"/>
      <c r="I1491" s="18"/>
      <c r="J1491" s="18"/>
      <c r="K1491" s="18"/>
      <c r="L1491" s="10"/>
      <c r="M1491" s="18"/>
      <c r="N1491" s="10"/>
      <c r="O1491" s="18"/>
      <c r="P1491" s="18"/>
      <c r="Q1491" s="18">
        <v>13334384.859999999</v>
      </c>
      <c r="R1491" s="18"/>
      <c r="S1491" s="18"/>
    </row>
    <row r="1492" spans="1:19" x14ac:dyDescent="0.25">
      <c r="A1492" s="9" t="s">
        <v>1024</v>
      </c>
      <c r="B1492" s="17" t="s">
        <v>1853</v>
      </c>
      <c r="C1492" s="18">
        <f t="shared" si="111"/>
        <v>5854299.1299999999</v>
      </c>
      <c r="D1492" s="18">
        <v>117.09</v>
      </c>
      <c r="E1492" s="18"/>
      <c r="F1492" s="18">
        <v>3369430.35</v>
      </c>
      <c r="G1492" s="18"/>
      <c r="H1492" s="18"/>
      <c r="I1492" s="18"/>
      <c r="J1492" s="18">
        <v>2484751.69</v>
      </c>
      <c r="K1492" s="18"/>
      <c r="L1492" s="10"/>
      <c r="M1492" s="18"/>
      <c r="N1492" s="10"/>
      <c r="O1492" s="18"/>
      <c r="P1492" s="18"/>
      <c r="Q1492" s="18"/>
      <c r="R1492" s="18"/>
      <c r="S1492" s="18"/>
    </row>
    <row r="1493" spans="1:19" x14ac:dyDescent="0.25">
      <c r="A1493" s="9" t="s">
        <v>1026</v>
      </c>
      <c r="B1493" s="17" t="s">
        <v>1863</v>
      </c>
      <c r="C1493" s="18">
        <f t="shared" si="111"/>
        <v>10843513.08</v>
      </c>
      <c r="D1493" s="18">
        <v>216.86</v>
      </c>
      <c r="E1493" s="18"/>
      <c r="F1493" s="18"/>
      <c r="G1493" s="18"/>
      <c r="H1493" s="18"/>
      <c r="I1493" s="18"/>
      <c r="J1493" s="18"/>
      <c r="K1493" s="18"/>
      <c r="L1493" s="10"/>
      <c r="M1493" s="18"/>
      <c r="N1493" s="10" t="s">
        <v>883</v>
      </c>
      <c r="O1493" s="18">
        <v>10843296.220000001</v>
      </c>
      <c r="P1493" s="18"/>
      <c r="Q1493" s="18"/>
      <c r="R1493" s="18"/>
      <c r="S1493" s="18"/>
    </row>
    <row r="1494" spans="1:19" x14ac:dyDescent="0.25">
      <c r="A1494" s="9" t="s">
        <v>1028</v>
      </c>
      <c r="B1494" s="17" t="s">
        <v>1937</v>
      </c>
      <c r="C1494" s="18">
        <f t="shared" si="111"/>
        <v>18858763.359999999</v>
      </c>
      <c r="D1494" s="18">
        <v>342731.73</v>
      </c>
      <c r="E1494" s="18"/>
      <c r="F1494" s="18">
        <v>1615061.87</v>
      </c>
      <c r="G1494" s="18">
        <v>2732879.34</v>
      </c>
      <c r="H1494" s="18">
        <v>711503.64</v>
      </c>
      <c r="I1494" s="18">
        <v>113527.06</v>
      </c>
      <c r="J1494" s="18"/>
      <c r="K1494" s="18"/>
      <c r="L1494" s="10"/>
      <c r="M1494" s="18"/>
      <c r="N1494" s="10" t="s">
        <v>883</v>
      </c>
      <c r="O1494" s="18">
        <v>7699874.7800000003</v>
      </c>
      <c r="P1494" s="18"/>
      <c r="Q1494" s="18"/>
      <c r="R1494" s="18">
        <v>5643184.9400000004</v>
      </c>
      <c r="S1494" s="18"/>
    </row>
    <row r="1495" spans="1:19" x14ac:dyDescent="0.25">
      <c r="A1495" s="9" t="s">
        <v>1030</v>
      </c>
      <c r="B1495" s="17" t="s">
        <v>1865</v>
      </c>
      <c r="C1495" s="18">
        <f t="shared" si="111"/>
        <v>5844994.5199999996</v>
      </c>
      <c r="D1495" s="18">
        <v>116.89</v>
      </c>
      <c r="E1495" s="18"/>
      <c r="F1495" s="18"/>
      <c r="G1495" s="18">
        <v>3691570.57</v>
      </c>
      <c r="H1495" s="18">
        <v>1337501</v>
      </c>
      <c r="I1495" s="18">
        <v>815806.06</v>
      </c>
      <c r="J1495" s="18"/>
      <c r="K1495" s="18"/>
      <c r="L1495" s="10"/>
      <c r="M1495" s="18"/>
      <c r="N1495" s="10"/>
      <c r="O1495" s="18"/>
      <c r="P1495" s="18"/>
      <c r="Q1495" s="18"/>
      <c r="R1495" s="18"/>
      <c r="S1495" s="18"/>
    </row>
    <row r="1496" spans="1:19" x14ac:dyDescent="0.25">
      <c r="A1496" s="9" t="s">
        <v>1032</v>
      </c>
      <c r="B1496" s="17" t="s">
        <v>1871</v>
      </c>
      <c r="C1496" s="18">
        <f t="shared" si="111"/>
        <v>2239046.48</v>
      </c>
      <c r="D1496" s="18">
        <v>44.78</v>
      </c>
      <c r="E1496" s="18"/>
      <c r="F1496" s="18"/>
      <c r="G1496" s="18"/>
      <c r="H1496" s="18"/>
      <c r="I1496" s="18"/>
      <c r="J1496" s="18">
        <v>2239001.7000000002</v>
      </c>
      <c r="K1496" s="18"/>
      <c r="L1496" s="10"/>
      <c r="M1496" s="18"/>
      <c r="N1496" s="10"/>
      <c r="O1496" s="18"/>
      <c r="P1496" s="18"/>
      <c r="Q1496" s="18"/>
      <c r="R1496" s="18"/>
      <c r="S1496" s="18"/>
    </row>
    <row r="1497" spans="1:19" x14ac:dyDescent="0.25">
      <c r="A1497" s="9" t="s">
        <v>1034</v>
      </c>
      <c r="B1497" s="17" t="s">
        <v>1873</v>
      </c>
      <c r="C1497" s="18">
        <f t="shared" si="111"/>
        <v>16445755.859999999</v>
      </c>
      <c r="D1497" s="18">
        <v>328.91</v>
      </c>
      <c r="E1497" s="18"/>
      <c r="F1497" s="18">
        <v>3340347.33</v>
      </c>
      <c r="G1497" s="18"/>
      <c r="H1497" s="18"/>
      <c r="I1497" s="18"/>
      <c r="J1497" s="18"/>
      <c r="K1497" s="18"/>
      <c r="L1497" s="10"/>
      <c r="M1497" s="18"/>
      <c r="N1497" s="10"/>
      <c r="O1497" s="18"/>
      <c r="P1497" s="18"/>
      <c r="Q1497" s="18"/>
      <c r="R1497" s="18">
        <v>13105079.619999999</v>
      </c>
      <c r="S1497" s="18"/>
    </row>
    <row r="1498" spans="1:19" x14ac:dyDescent="0.25">
      <c r="A1498" s="9" t="s">
        <v>1036</v>
      </c>
      <c r="B1498" s="17" t="s">
        <v>1875</v>
      </c>
      <c r="C1498" s="18">
        <f t="shared" si="111"/>
        <v>1070708.3500000001</v>
      </c>
      <c r="D1498" s="18">
        <v>21.41</v>
      </c>
      <c r="E1498" s="18"/>
      <c r="F1498" s="18"/>
      <c r="G1498" s="18"/>
      <c r="H1498" s="18"/>
      <c r="I1498" s="18"/>
      <c r="J1498" s="18">
        <v>1070686.94</v>
      </c>
      <c r="K1498" s="18"/>
      <c r="L1498" s="10"/>
      <c r="M1498" s="18"/>
      <c r="N1498" s="10"/>
      <c r="O1498" s="18"/>
      <c r="P1498" s="18"/>
      <c r="Q1498" s="18"/>
      <c r="R1498" s="18"/>
      <c r="S1498" s="18"/>
    </row>
    <row r="1499" spans="1:19" x14ac:dyDescent="0.25">
      <c r="A1499" s="9" t="s">
        <v>1040</v>
      </c>
      <c r="B1499" s="17" t="s">
        <v>1877</v>
      </c>
      <c r="C1499" s="18">
        <f t="shared" si="111"/>
        <v>1274221.3799999999</v>
      </c>
      <c r="D1499" s="18">
        <v>25.48</v>
      </c>
      <c r="E1499" s="18"/>
      <c r="F1499" s="18"/>
      <c r="G1499" s="18"/>
      <c r="H1499" s="18"/>
      <c r="I1499" s="18"/>
      <c r="J1499" s="18">
        <v>1274195.8999999999</v>
      </c>
      <c r="K1499" s="18"/>
      <c r="L1499" s="10"/>
      <c r="M1499" s="18"/>
      <c r="N1499" s="10"/>
      <c r="O1499" s="18"/>
      <c r="P1499" s="18"/>
      <c r="Q1499" s="18"/>
      <c r="R1499" s="18"/>
      <c r="S1499" s="18"/>
    </row>
    <row r="1500" spans="1:19" x14ac:dyDescent="0.25">
      <c r="A1500" s="9" t="s">
        <v>1042</v>
      </c>
      <c r="B1500" s="17" t="s">
        <v>1881</v>
      </c>
      <c r="C1500" s="18">
        <f t="shared" si="111"/>
        <v>1980353.29</v>
      </c>
      <c r="D1500" s="18">
        <v>39.61</v>
      </c>
      <c r="E1500" s="18"/>
      <c r="F1500" s="18"/>
      <c r="G1500" s="18"/>
      <c r="H1500" s="18"/>
      <c r="I1500" s="18"/>
      <c r="J1500" s="18"/>
      <c r="K1500" s="18"/>
      <c r="L1500" s="10"/>
      <c r="M1500" s="18"/>
      <c r="N1500" s="10"/>
      <c r="O1500" s="18"/>
      <c r="P1500" s="18"/>
      <c r="Q1500" s="18">
        <v>1980313.68</v>
      </c>
      <c r="R1500" s="18"/>
      <c r="S1500" s="18"/>
    </row>
    <row r="1501" spans="1:19" x14ac:dyDescent="0.25">
      <c r="A1501" s="9" t="s">
        <v>1044</v>
      </c>
      <c r="B1501" s="17" t="s">
        <v>1938</v>
      </c>
      <c r="C1501" s="18">
        <f t="shared" si="111"/>
        <v>1814098.44</v>
      </c>
      <c r="D1501" s="18"/>
      <c r="E1501" s="18"/>
      <c r="F1501" s="18"/>
      <c r="G1501" s="18"/>
      <c r="H1501" s="18"/>
      <c r="I1501" s="18"/>
      <c r="J1501" s="18"/>
      <c r="K1501" s="18"/>
      <c r="L1501" s="10"/>
      <c r="M1501" s="18"/>
      <c r="N1501" s="10"/>
      <c r="O1501" s="18"/>
      <c r="P1501" s="18">
        <v>565521.21</v>
      </c>
      <c r="Q1501" s="18">
        <v>1248577.23</v>
      </c>
      <c r="R1501" s="18"/>
      <c r="S1501" s="18"/>
    </row>
    <row r="1502" spans="1:19" x14ac:dyDescent="0.25">
      <c r="A1502" s="9" t="s">
        <v>1046</v>
      </c>
      <c r="B1502" s="17" t="s">
        <v>1887</v>
      </c>
      <c r="C1502" s="18">
        <f t="shared" si="111"/>
        <v>3185576.96</v>
      </c>
      <c r="D1502" s="18">
        <v>63.7</v>
      </c>
      <c r="E1502" s="18"/>
      <c r="F1502" s="18"/>
      <c r="G1502" s="18">
        <v>1773012.62</v>
      </c>
      <c r="H1502" s="18">
        <v>888801.06</v>
      </c>
      <c r="I1502" s="18">
        <v>523699.58</v>
      </c>
      <c r="J1502" s="18"/>
      <c r="K1502" s="18"/>
      <c r="L1502" s="10"/>
      <c r="M1502" s="18"/>
      <c r="N1502" s="10"/>
      <c r="O1502" s="18"/>
      <c r="P1502" s="18"/>
      <c r="Q1502" s="18"/>
      <c r="R1502" s="18"/>
      <c r="S1502" s="18"/>
    </row>
    <row r="1503" spans="1:19" x14ac:dyDescent="0.25">
      <c r="A1503" s="9" t="s">
        <v>1048</v>
      </c>
      <c r="B1503" s="17" t="s">
        <v>1889</v>
      </c>
      <c r="C1503" s="18">
        <f t="shared" si="111"/>
        <v>1555618.13</v>
      </c>
      <c r="D1503" s="18">
        <v>31.11</v>
      </c>
      <c r="E1503" s="18"/>
      <c r="F1503" s="18"/>
      <c r="G1503" s="18"/>
      <c r="H1503" s="18"/>
      <c r="I1503" s="18"/>
      <c r="J1503" s="18">
        <v>1555587.02</v>
      </c>
      <c r="K1503" s="18"/>
      <c r="L1503" s="10"/>
      <c r="M1503" s="18"/>
      <c r="N1503" s="10"/>
      <c r="O1503" s="18"/>
      <c r="P1503" s="18"/>
      <c r="Q1503" s="18"/>
      <c r="R1503" s="18"/>
      <c r="S1503" s="18"/>
    </row>
    <row r="1504" spans="1:19" x14ac:dyDescent="0.25">
      <c r="A1504" s="9" t="s">
        <v>1050</v>
      </c>
      <c r="B1504" s="17" t="s">
        <v>1891</v>
      </c>
      <c r="C1504" s="18">
        <f t="shared" si="111"/>
        <v>1355708.38</v>
      </c>
      <c r="D1504" s="18">
        <v>27.11</v>
      </c>
      <c r="E1504" s="18"/>
      <c r="F1504" s="18"/>
      <c r="G1504" s="18"/>
      <c r="H1504" s="18"/>
      <c r="I1504" s="18"/>
      <c r="J1504" s="18">
        <v>1355681.27</v>
      </c>
      <c r="K1504" s="18"/>
      <c r="L1504" s="10"/>
      <c r="M1504" s="18"/>
      <c r="N1504" s="10"/>
      <c r="O1504" s="18"/>
      <c r="P1504" s="18"/>
      <c r="Q1504" s="18"/>
      <c r="R1504" s="18"/>
      <c r="S1504" s="18"/>
    </row>
    <row r="1505" spans="1:19" x14ac:dyDescent="0.25">
      <c r="A1505" s="9" t="s">
        <v>1052</v>
      </c>
      <c r="B1505" s="17" t="s">
        <v>1893</v>
      </c>
      <c r="C1505" s="18">
        <f t="shared" si="111"/>
        <v>2409909.88</v>
      </c>
      <c r="D1505" s="18"/>
      <c r="E1505" s="18"/>
      <c r="F1505" s="18"/>
      <c r="G1505" s="18"/>
      <c r="H1505" s="18"/>
      <c r="I1505" s="18"/>
      <c r="J1505" s="18"/>
      <c r="K1505" s="18"/>
      <c r="L1505" s="10"/>
      <c r="M1505" s="18"/>
      <c r="N1505" s="10"/>
      <c r="O1505" s="18"/>
      <c r="P1505" s="18">
        <v>2409909.88</v>
      </c>
      <c r="Q1505" s="18"/>
      <c r="R1505" s="18"/>
      <c r="S1505" s="18"/>
    </row>
    <row r="1506" spans="1:19" x14ac:dyDescent="0.25">
      <c r="A1506" s="33"/>
      <c r="B1506" s="33" t="s">
        <v>1939</v>
      </c>
      <c r="C1506" s="18">
        <f t="shared" ref="C1506:S1506" si="112">SUM(C1489:C1505)</f>
        <v>97986022.149999976</v>
      </c>
      <c r="D1506" s="18">
        <f t="shared" si="112"/>
        <v>344229.73999999993</v>
      </c>
      <c r="E1506" s="18">
        <f t="shared" si="112"/>
        <v>0</v>
      </c>
      <c r="F1506" s="18">
        <f t="shared" si="112"/>
        <v>8324839.5500000007</v>
      </c>
      <c r="G1506" s="18">
        <f t="shared" si="112"/>
        <v>13354044.18</v>
      </c>
      <c r="H1506" s="18">
        <f t="shared" si="112"/>
        <v>2937805.7</v>
      </c>
      <c r="I1506" s="18">
        <f t="shared" si="112"/>
        <v>1453032.7000000002</v>
      </c>
      <c r="J1506" s="18">
        <f t="shared" si="112"/>
        <v>9979904.5199999996</v>
      </c>
      <c r="K1506" s="18">
        <f t="shared" si="112"/>
        <v>0</v>
      </c>
      <c r="L1506" s="10">
        <f t="shared" si="112"/>
        <v>0</v>
      </c>
      <c r="M1506" s="18">
        <f t="shared" si="112"/>
        <v>0</v>
      </c>
      <c r="N1506" s="18" t="s">
        <v>42</v>
      </c>
      <c r="O1506" s="18">
        <f t="shared" si="112"/>
        <v>23305194.34</v>
      </c>
      <c r="P1506" s="18">
        <f t="shared" si="112"/>
        <v>2975431.09</v>
      </c>
      <c r="Q1506" s="18">
        <f t="shared" si="112"/>
        <v>16563275.77</v>
      </c>
      <c r="R1506" s="18">
        <f t="shared" si="112"/>
        <v>18748264.559999999</v>
      </c>
      <c r="S1506" s="18">
        <f t="shared" si="112"/>
        <v>0</v>
      </c>
    </row>
    <row r="1507" spans="1:19" x14ac:dyDescent="0.25">
      <c r="A1507" s="34"/>
      <c r="B1507" s="34" t="s">
        <v>1940</v>
      </c>
      <c r="C1507" s="18"/>
      <c r="D1507" s="46"/>
      <c r="E1507" s="46"/>
      <c r="F1507" s="46"/>
      <c r="G1507" s="46"/>
      <c r="H1507" s="46"/>
      <c r="I1507" s="46"/>
      <c r="J1507" s="46"/>
      <c r="K1507" s="46"/>
      <c r="L1507" s="54"/>
      <c r="M1507" s="46"/>
      <c r="N1507" s="46"/>
      <c r="O1507" s="46"/>
      <c r="P1507" s="46"/>
      <c r="Q1507" s="47"/>
    </row>
    <row r="1508" spans="1:19" x14ac:dyDescent="0.25">
      <c r="A1508" s="12" t="str">
        <f>A2025</f>
        <v>480</v>
      </c>
      <c r="B1508" s="16" t="s">
        <v>2075</v>
      </c>
      <c r="C1508" s="13">
        <f t="shared" ref="C1508:M1508" si="113">SUM(C1515+C1547+C1554+C1568+C1574+C1615+C1624+C1733+C1748+C1762+C1770+C1790+C1796+C1807+C1911+C1952+C1961+C2001+C2026)</f>
        <v>6693653499.8600006</v>
      </c>
      <c r="D1508" s="13">
        <f t="shared" si="113"/>
        <v>32853418.780000009</v>
      </c>
      <c r="E1508" s="13">
        <f t="shared" si="113"/>
        <v>32180046.16</v>
      </c>
      <c r="F1508" s="13">
        <f t="shared" si="113"/>
        <v>483603201.47000003</v>
      </c>
      <c r="G1508" s="13">
        <f t="shared" si="113"/>
        <v>919966811.68999994</v>
      </c>
      <c r="H1508" s="13">
        <f t="shared" si="113"/>
        <v>498592679.37</v>
      </c>
      <c r="I1508" s="13">
        <f t="shared" si="113"/>
        <v>216144815.14000002</v>
      </c>
      <c r="J1508" s="13">
        <f t="shared" si="113"/>
        <v>283409766.13999999</v>
      </c>
      <c r="K1508" s="13">
        <f t="shared" si="113"/>
        <v>2375055.5099999998</v>
      </c>
      <c r="L1508" s="14">
        <f t="shared" si="113"/>
        <v>266</v>
      </c>
      <c r="M1508" s="13">
        <f t="shared" si="113"/>
        <v>1265810163.2999997</v>
      </c>
      <c r="N1508" s="13" t="s">
        <v>42</v>
      </c>
      <c r="O1508" s="13">
        <f>SUM(O1515+O1547+O1554+O1568+O1574+O1615+O1624+O1733+O1748+O1762+O1770+O1790+O1796+O1807+O1911+O1952+O1961+O2001+O2026)</f>
        <v>1062072021.8199999</v>
      </c>
      <c r="P1508" s="13">
        <f>SUM(P1515+P1547+P1554+P1568+P1574+P1615+P1624+P1733+P1748+P1762+P1770+P1790+P1796+P1807+P1911+P1952+P1961+P2001+P2026)</f>
        <v>466387054.91999996</v>
      </c>
      <c r="Q1508" s="13">
        <f>SUM(Q1515+Q1547+Q1554+Q1568+Q1574+Q1615+Q1624+Q1733+Q1748+Q1762+Q1770+Q1790+Q1796+Q1807+Q1911+Q1952+Q1961+Q2001+Q2026)</f>
        <v>631711304.44999993</v>
      </c>
      <c r="R1508" s="13">
        <f>SUM(R1515+R1547+R1554+R1568+R1574+R1615+R1624+R1733+R1748+R1762+R1770+R1790+R1796+R1807+R1911+R1952+R1961+R2001+R2026)</f>
        <v>792100848.95999992</v>
      </c>
      <c r="S1508" s="13">
        <f>SUM(S1515+S1547+S1554+S1568+S1574+S1615+S1624+S1733+S1748+S1762+S1770+S1790+S1796+S1807+S1911+S1952+S1961+S2001+S2026)</f>
        <v>6446312.1500000004</v>
      </c>
    </row>
    <row r="1509" spans="1:19" x14ac:dyDescent="0.25">
      <c r="A1509" s="34"/>
      <c r="B1509" s="34" t="s">
        <v>44</v>
      </c>
      <c r="C1509" s="47"/>
      <c r="D1509" s="13"/>
      <c r="E1509" s="13"/>
      <c r="F1509" s="13"/>
      <c r="G1509" s="13"/>
      <c r="H1509" s="13"/>
      <c r="I1509" s="13"/>
      <c r="J1509" s="13"/>
      <c r="K1509" s="13"/>
      <c r="L1509" s="14"/>
      <c r="M1509" s="13"/>
      <c r="N1509" s="14"/>
      <c r="O1509" s="13"/>
      <c r="P1509" s="13"/>
      <c r="Q1509" s="13"/>
      <c r="R1509" s="13"/>
      <c r="S1509" s="13"/>
    </row>
    <row r="1510" spans="1:19" x14ac:dyDescent="0.25">
      <c r="A1510" s="9" t="s">
        <v>22</v>
      </c>
      <c r="B1510" s="17" t="s">
        <v>53</v>
      </c>
      <c r="C1510" s="18">
        <f>ROUNDUP(SUM(D1510+E1510+F1510+G1510+H1510+I1510+J1510+K1510+M1510+O1510+P1510+Q1510+R1510+S1510),2)</f>
        <v>10135099.050000001</v>
      </c>
      <c r="D1510" s="18">
        <v>45303.18</v>
      </c>
      <c r="E1510" s="18"/>
      <c r="F1510" s="18">
        <v>2866107.34</v>
      </c>
      <c r="G1510" s="18"/>
      <c r="H1510" s="18">
        <v>3571478.64</v>
      </c>
      <c r="I1510" s="18">
        <v>1369581.4</v>
      </c>
      <c r="J1510" s="18">
        <v>2282628.4900000002</v>
      </c>
      <c r="K1510" s="18"/>
      <c r="L1510" s="10"/>
      <c r="M1510" s="18"/>
      <c r="N1510" s="10"/>
      <c r="O1510" s="18"/>
      <c r="P1510" s="18"/>
      <c r="Q1510" s="18"/>
      <c r="R1510" s="18"/>
      <c r="S1510" s="18"/>
    </row>
    <row r="1511" spans="1:19" x14ac:dyDescent="0.25">
      <c r="A1511" s="9">
        <f>1+A1510</f>
        <v>2</v>
      </c>
      <c r="B1511" s="17" t="s">
        <v>49</v>
      </c>
      <c r="C1511" s="18">
        <f>ROUNDUP(SUM(D1511+E1511+F1511+G1511+H1511+I1511+J1511+K1511+M1511+O1511+P1511+Q1511+R1511+S1511),2)</f>
        <v>26148810.359999999</v>
      </c>
      <c r="D1511" s="18">
        <v>116883.35</v>
      </c>
      <c r="E1511" s="18"/>
      <c r="F1511" s="18"/>
      <c r="G1511" s="18"/>
      <c r="H1511" s="18"/>
      <c r="I1511" s="18"/>
      <c r="J1511" s="18"/>
      <c r="K1511" s="18"/>
      <c r="L1511" s="10"/>
      <c r="M1511" s="18"/>
      <c r="N1511" s="10"/>
      <c r="O1511" s="18"/>
      <c r="P1511" s="18"/>
      <c r="Q1511" s="18"/>
      <c r="R1511" s="18">
        <v>26031927.010000002</v>
      </c>
      <c r="S1511" s="18"/>
    </row>
    <row r="1512" spans="1:19" x14ac:dyDescent="0.25">
      <c r="A1512" s="9">
        <f>1+A1511</f>
        <v>3</v>
      </c>
      <c r="B1512" s="17" t="s">
        <v>51</v>
      </c>
      <c r="C1512" s="18">
        <f>ROUNDUP(SUM(D1512+E1512+F1512+G1512+H1512+I1512+J1512+K1512+M1512+O1512+P1512+Q1512+R1512+S1512),2)</f>
        <v>31824630.870000001</v>
      </c>
      <c r="D1512" s="18">
        <v>142253.87</v>
      </c>
      <c r="E1512" s="18"/>
      <c r="F1512" s="18"/>
      <c r="G1512" s="18"/>
      <c r="H1512" s="18">
        <v>3745788.6</v>
      </c>
      <c r="I1512" s="18">
        <v>956427.54</v>
      </c>
      <c r="J1512" s="18">
        <v>2281935.9</v>
      </c>
      <c r="K1512" s="18"/>
      <c r="L1512" s="10"/>
      <c r="M1512" s="18"/>
      <c r="N1512" s="10"/>
      <c r="O1512" s="18"/>
      <c r="P1512" s="18"/>
      <c r="Q1512" s="18"/>
      <c r="R1512" s="18">
        <v>24698224.960000001</v>
      </c>
      <c r="S1512" s="18"/>
    </row>
    <row r="1513" spans="1:19" x14ac:dyDescent="0.25">
      <c r="A1513" s="9">
        <f>1+A1512</f>
        <v>4</v>
      </c>
      <c r="B1513" s="17" t="s">
        <v>52</v>
      </c>
      <c r="C1513" s="18">
        <f>ROUNDUP(SUM(D1513+E1513+F1513+G1513+H1513+I1513+J1513+K1513+M1513+O1513+P1513+Q1513+R1513+S1513),2)</f>
        <v>4144621.77</v>
      </c>
      <c r="D1513" s="18">
        <v>18526.169999999998</v>
      </c>
      <c r="E1513" s="18"/>
      <c r="F1513" s="18"/>
      <c r="G1513" s="18"/>
      <c r="H1513" s="18">
        <v>2040297.82</v>
      </c>
      <c r="I1513" s="18">
        <v>596842</v>
      </c>
      <c r="J1513" s="18">
        <v>1488955.78</v>
      </c>
      <c r="K1513" s="18"/>
      <c r="L1513" s="10"/>
      <c r="M1513" s="18"/>
      <c r="N1513" s="10"/>
      <c r="O1513" s="18"/>
      <c r="P1513" s="18"/>
      <c r="Q1513" s="18"/>
      <c r="R1513" s="18"/>
      <c r="S1513" s="18"/>
    </row>
    <row r="1514" spans="1:19" x14ac:dyDescent="0.25">
      <c r="A1514" s="9">
        <f>1+A1513</f>
        <v>5</v>
      </c>
      <c r="B1514" s="17" t="s">
        <v>58</v>
      </c>
      <c r="C1514" s="18">
        <f>ROUNDUP(SUM(D1514+E1514+F1514+G1514+H1514+I1514+J1514+K1514+M1514+O1514+P1514+Q1514+R1514+S1514),2)</f>
        <v>6880211.0700000003</v>
      </c>
      <c r="D1514" s="18">
        <v>30754.05</v>
      </c>
      <c r="E1514" s="18"/>
      <c r="F1514" s="18"/>
      <c r="G1514" s="18"/>
      <c r="H1514" s="18">
        <v>3653593.18</v>
      </c>
      <c r="I1514" s="18">
        <v>995611.12</v>
      </c>
      <c r="J1514" s="18">
        <v>2200252.7200000002</v>
      </c>
      <c r="K1514" s="18"/>
      <c r="L1514" s="10"/>
      <c r="M1514" s="18"/>
      <c r="N1514" s="10"/>
      <c r="O1514" s="18"/>
      <c r="P1514" s="18"/>
      <c r="Q1514" s="18"/>
      <c r="R1514" s="18"/>
      <c r="S1514" s="18"/>
    </row>
    <row r="1515" spans="1:19" ht="25.5" customHeight="1" x14ac:dyDescent="0.25">
      <c r="A1515" s="33"/>
      <c r="B1515" s="33" t="s">
        <v>1941</v>
      </c>
      <c r="C1515" s="18">
        <f>ROUND(D1515+E1515+F1515+G1515+H1515+I1515+J1515+K1515+M1515+O1515+P1515+Q1515+R1515+S1515,2)</f>
        <v>79133373.120000005</v>
      </c>
      <c r="D1515" s="18">
        <f t="shared" ref="D1515:S1515" si="114">SUM(D1510:D1514)</f>
        <v>353720.62</v>
      </c>
      <c r="E1515" s="18">
        <f t="shared" si="114"/>
        <v>0</v>
      </c>
      <c r="F1515" s="18">
        <f t="shared" si="114"/>
        <v>2866107.34</v>
      </c>
      <c r="G1515" s="18">
        <f t="shared" si="114"/>
        <v>0</v>
      </c>
      <c r="H1515" s="18">
        <f t="shared" si="114"/>
        <v>13011158.24</v>
      </c>
      <c r="I1515" s="18">
        <f t="shared" si="114"/>
        <v>3918462.06</v>
      </c>
      <c r="J1515" s="18">
        <f t="shared" si="114"/>
        <v>8253772.8900000006</v>
      </c>
      <c r="K1515" s="18">
        <f t="shared" si="114"/>
        <v>0</v>
      </c>
      <c r="L1515" s="10">
        <f t="shared" si="114"/>
        <v>0</v>
      </c>
      <c r="M1515" s="18">
        <f t="shared" si="114"/>
        <v>0</v>
      </c>
      <c r="N1515" s="18" t="s">
        <v>42</v>
      </c>
      <c r="O1515" s="18">
        <f t="shared" si="114"/>
        <v>0</v>
      </c>
      <c r="P1515" s="18">
        <f t="shared" si="114"/>
        <v>0</v>
      </c>
      <c r="Q1515" s="18">
        <f t="shared" si="114"/>
        <v>0</v>
      </c>
      <c r="R1515" s="18">
        <f t="shared" si="114"/>
        <v>50730151.969999999</v>
      </c>
      <c r="S1515" s="18">
        <f t="shared" si="114"/>
        <v>0</v>
      </c>
    </row>
    <row r="1516" spans="1:19" x14ac:dyDescent="0.25">
      <c r="A1516" s="34"/>
      <c r="B1516" s="34" t="s">
        <v>66</v>
      </c>
      <c r="C1516" s="18"/>
      <c r="D1516" s="13"/>
      <c r="E1516" s="13"/>
      <c r="F1516" s="13"/>
      <c r="G1516" s="13"/>
      <c r="H1516" s="13"/>
      <c r="I1516" s="13"/>
      <c r="J1516" s="13"/>
      <c r="K1516" s="13"/>
      <c r="L1516" s="14"/>
      <c r="M1516" s="13"/>
      <c r="N1516" s="14"/>
      <c r="O1516" s="13"/>
      <c r="P1516" s="13"/>
      <c r="Q1516" s="13"/>
      <c r="R1516" s="13"/>
      <c r="S1516" s="13"/>
    </row>
    <row r="1517" spans="1:19" x14ac:dyDescent="0.25">
      <c r="A1517" s="9" t="s">
        <v>27</v>
      </c>
      <c r="B1517" s="17" t="s">
        <v>71</v>
      </c>
      <c r="C1517" s="18">
        <f t="shared" ref="C1517:C1546" si="115">ROUNDUP(SUM(D1517+E1517+F1517+G1517+H1517+I1517+J1517+K1517+M1517+O1517+P1517+Q1517+R1517+S1517),2)</f>
        <v>1809665.47</v>
      </c>
      <c r="D1517" s="18">
        <v>10202.950000000001</v>
      </c>
      <c r="E1517" s="18"/>
      <c r="F1517" s="18"/>
      <c r="G1517" s="18"/>
      <c r="H1517" s="18"/>
      <c r="I1517" s="18"/>
      <c r="J1517" s="18">
        <v>1799462.52</v>
      </c>
      <c r="K1517" s="18"/>
      <c r="L1517" s="10"/>
      <c r="M1517" s="18"/>
      <c r="N1517" s="10"/>
      <c r="O1517" s="18"/>
      <c r="P1517" s="18"/>
      <c r="Q1517" s="18"/>
      <c r="R1517" s="18"/>
      <c r="S1517" s="18"/>
    </row>
    <row r="1518" spans="1:19" x14ac:dyDescent="0.25">
      <c r="A1518" s="9" t="s">
        <v>28</v>
      </c>
      <c r="B1518" s="17" t="s">
        <v>69</v>
      </c>
      <c r="C1518" s="18">
        <f t="shared" si="115"/>
        <v>10217526.470000001</v>
      </c>
      <c r="D1518" s="18">
        <v>57606.740000000005</v>
      </c>
      <c r="E1518" s="18"/>
      <c r="F1518" s="18"/>
      <c r="G1518" s="18"/>
      <c r="H1518" s="18">
        <v>2691302.81</v>
      </c>
      <c r="I1518" s="18">
        <v>1434483.49</v>
      </c>
      <c r="J1518" s="18">
        <v>2250539.4300000002</v>
      </c>
      <c r="K1518" s="18"/>
      <c r="L1518" s="10"/>
      <c r="M1518" s="18"/>
      <c r="N1518" s="10"/>
      <c r="O1518" s="18"/>
      <c r="P1518" s="18">
        <v>3783594</v>
      </c>
      <c r="Q1518" s="18"/>
      <c r="R1518" s="18"/>
      <c r="S1518" s="18"/>
    </row>
    <row r="1519" spans="1:19" x14ac:dyDescent="0.25">
      <c r="A1519" s="9" t="s">
        <v>29</v>
      </c>
      <c r="B1519" s="17" t="s">
        <v>75</v>
      </c>
      <c r="C1519" s="18">
        <f t="shared" si="115"/>
        <v>1617684.23</v>
      </c>
      <c r="D1519" s="18">
        <v>6330.92</v>
      </c>
      <c r="E1519" s="18"/>
      <c r="F1519" s="18"/>
      <c r="G1519" s="18"/>
      <c r="H1519" s="18">
        <v>715638.11</v>
      </c>
      <c r="I1519" s="18">
        <v>400926.59</v>
      </c>
      <c r="J1519" s="18">
        <v>494788.61</v>
      </c>
      <c r="K1519" s="18"/>
      <c r="L1519" s="10"/>
      <c r="M1519" s="18"/>
      <c r="N1519" s="10"/>
      <c r="O1519" s="18"/>
      <c r="P1519" s="18"/>
      <c r="Q1519" s="18"/>
      <c r="R1519" s="18"/>
      <c r="S1519" s="18"/>
    </row>
    <row r="1520" spans="1:19" x14ac:dyDescent="0.25">
      <c r="A1520" s="9" t="s">
        <v>30</v>
      </c>
      <c r="B1520" s="17" t="s">
        <v>83</v>
      </c>
      <c r="C1520" s="18">
        <f t="shared" si="115"/>
        <v>8815502.8900000006</v>
      </c>
      <c r="D1520" s="18">
        <v>33214.409999999996</v>
      </c>
      <c r="E1520" s="18"/>
      <c r="F1520" s="18">
        <v>2361746.12</v>
      </c>
      <c r="G1520" s="18">
        <v>2924366.66</v>
      </c>
      <c r="H1520" s="18">
        <v>1752679.73</v>
      </c>
      <c r="I1520" s="18">
        <v>593582.66</v>
      </c>
      <c r="J1520" s="18">
        <v>1149913.31</v>
      </c>
      <c r="K1520" s="18"/>
      <c r="L1520" s="10"/>
      <c r="M1520" s="18"/>
      <c r="N1520" s="10"/>
      <c r="O1520" s="18"/>
      <c r="P1520" s="18"/>
      <c r="Q1520" s="18"/>
      <c r="R1520" s="18"/>
      <c r="S1520" s="18"/>
    </row>
    <row r="1521" spans="1:19" x14ac:dyDescent="0.25">
      <c r="A1521" s="9" t="s">
        <v>31</v>
      </c>
      <c r="B1521" s="17" t="s">
        <v>91</v>
      </c>
      <c r="C1521" s="18">
        <f t="shared" si="115"/>
        <v>7274626.3799999999</v>
      </c>
      <c r="D1521" s="18">
        <v>41014.58</v>
      </c>
      <c r="E1521" s="18"/>
      <c r="F1521" s="18"/>
      <c r="G1521" s="18">
        <v>3233977.55</v>
      </c>
      <c r="H1521" s="18">
        <v>1921978.08</v>
      </c>
      <c r="I1521" s="18">
        <v>807937.86</v>
      </c>
      <c r="J1521" s="18">
        <v>1269718.31</v>
      </c>
      <c r="K1521" s="18"/>
      <c r="L1521" s="10"/>
      <c r="M1521" s="18"/>
      <c r="N1521" s="10"/>
      <c r="O1521" s="18"/>
      <c r="P1521" s="18"/>
      <c r="Q1521" s="18"/>
      <c r="R1521" s="18"/>
      <c r="S1521" s="18"/>
    </row>
    <row r="1522" spans="1:19" x14ac:dyDescent="0.25">
      <c r="A1522" s="9" t="s">
        <v>32</v>
      </c>
      <c r="B1522" s="17" t="s">
        <v>99</v>
      </c>
      <c r="C1522" s="18">
        <f t="shared" si="115"/>
        <v>17686587.609999999</v>
      </c>
      <c r="D1522" s="18">
        <v>99717.55</v>
      </c>
      <c r="E1522" s="18"/>
      <c r="F1522" s="18">
        <v>4396704.34</v>
      </c>
      <c r="G1522" s="18">
        <v>6453602.79</v>
      </c>
      <c r="H1522" s="18">
        <v>3050770.31</v>
      </c>
      <c r="I1522" s="18">
        <v>1388959.92</v>
      </c>
      <c r="J1522" s="18">
        <v>2296832.7000000002</v>
      </c>
      <c r="K1522" s="18"/>
      <c r="L1522" s="10"/>
      <c r="M1522" s="18"/>
      <c r="N1522" s="10"/>
      <c r="O1522" s="18"/>
      <c r="P1522" s="18"/>
      <c r="Q1522" s="18"/>
      <c r="R1522" s="18"/>
      <c r="S1522" s="18"/>
    </row>
    <row r="1523" spans="1:19" x14ac:dyDescent="0.25">
      <c r="A1523" s="9" t="s">
        <v>33</v>
      </c>
      <c r="B1523" s="17" t="s">
        <v>117</v>
      </c>
      <c r="C1523" s="18">
        <f t="shared" si="115"/>
        <v>3480412.29</v>
      </c>
      <c r="D1523" s="18"/>
      <c r="E1523" s="18"/>
      <c r="F1523" s="18"/>
      <c r="G1523" s="18">
        <v>2561947.9700000002</v>
      </c>
      <c r="H1523" s="18"/>
      <c r="I1523" s="18"/>
      <c r="J1523" s="18">
        <v>918464.32</v>
      </c>
      <c r="K1523" s="18"/>
      <c r="L1523" s="10"/>
      <c r="M1523" s="18"/>
      <c r="N1523" s="10"/>
      <c r="O1523" s="18"/>
      <c r="P1523" s="18"/>
      <c r="Q1523" s="18"/>
      <c r="R1523" s="18"/>
      <c r="S1523" s="18"/>
    </row>
    <row r="1524" spans="1:19" x14ac:dyDescent="0.25">
      <c r="A1524" s="9" t="s">
        <v>34</v>
      </c>
      <c r="B1524" s="17" t="s">
        <v>121</v>
      </c>
      <c r="C1524" s="18">
        <f t="shared" si="115"/>
        <v>17450323.260000002</v>
      </c>
      <c r="D1524" s="18">
        <v>73635.86</v>
      </c>
      <c r="E1524" s="18"/>
      <c r="F1524" s="18">
        <v>4335463.9400000004</v>
      </c>
      <c r="G1524" s="18">
        <v>6336373.6100000003</v>
      </c>
      <c r="H1524" s="18">
        <v>3060117.67</v>
      </c>
      <c r="I1524" s="18">
        <v>1329646.3899999999</v>
      </c>
      <c r="J1524" s="18">
        <v>2315085.79</v>
      </c>
      <c r="K1524" s="18"/>
      <c r="L1524" s="10"/>
      <c r="M1524" s="18"/>
      <c r="N1524" s="10"/>
      <c r="O1524" s="18"/>
      <c r="P1524" s="18"/>
      <c r="Q1524" s="18"/>
      <c r="R1524" s="18"/>
      <c r="S1524" s="18"/>
    </row>
    <row r="1525" spans="1:19" x14ac:dyDescent="0.25">
      <c r="A1525" s="9" t="s">
        <v>35</v>
      </c>
      <c r="B1525" s="17" t="s">
        <v>87</v>
      </c>
      <c r="C1525" s="18">
        <f t="shared" si="115"/>
        <v>3463464.37</v>
      </c>
      <c r="D1525" s="18"/>
      <c r="E1525" s="18"/>
      <c r="F1525" s="18"/>
      <c r="G1525" s="18">
        <v>2527346.54</v>
      </c>
      <c r="H1525" s="18"/>
      <c r="I1525" s="18"/>
      <c r="J1525" s="18">
        <v>936117.83</v>
      </c>
      <c r="K1525" s="18"/>
      <c r="L1525" s="10"/>
      <c r="M1525" s="18"/>
      <c r="N1525" s="10"/>
      <c r="O1525" s="18"/>
      <c r="P1525" s="18"/>
      <c r="Q1525" s="18"/>
      <c r="R1525" s="18"/>
      <c r="S1525" s="18"/>
    </row>
    <row r="1526" spans="1:19" x14ac:dyDescent="0.25">
      <c r="A1526" s="9" t="s">
        <v>36</v>
      </c>
      <c r="B1526" s="17" t="s">
        <v>89</v>
      </c>
      <c r="C1526" s="18">
        <f t="shared" si="115"/>
        <v>19737846.859999999</v>
      </c>
      <c r="D1526" s="18">
        <v>111282.63</v>
      </c>
      <c r="E1526" s="18"/>
      <c r="F1526" s="18">
        <v>3472034.83</v>
      </c>
      <c r="G1526" s="18">
        <v>5675495</v>
      </c>
      <c r="H1526" s="18">
        <v>2814575.94</v>
      </c>
      <c r="I1526" s="18">
        <v>1443078.35</v>
      </c>
      <c r="J1526" s="18">
        <v>2118195.09</v>
      </c>
      <c r="K1526" s="18"/>
      <c r="L1526" s="10"/>
      <c r="M1526" s="18"/>
      <c r="N1526" s="10"/>
      <c r="O1526" s="18"/>
      <c r="P1526" s="18">
        <v>4103185.02</v>
      </c>
      <c r="Q1526" s="18"/>
      <c r="R1526" s="18"/>
      <c r="S1526" s="18"/>
    </row>
    <row r="1527" spans="1:19" x14ac:dyDescent="0.25">
      <c r="A1527" s="9" t="s">
        <v>37</v>
      </c>
      <c r="B1527" s="17" t="s">
        <v>95</v>
      </c>
      <c r="C1527" s="18">
        <f t="shared" si="115"/>
        <v>4208244.66</v>
      </c>
      <c r="D1527" s="18">
        <v>23726.22</v>
      </c>
      <c r="E1527" s="18"/>
      <c r="F1527" s="18"/>
      <c r="G1527" s="18"/>
      <c r="H1527" s="18">
        <v>2942854.29</v>
      </c>
      <c r="I1527" s="18">
        <v>1241664.1499999999</v>
      </c>
      <c r="J1527" s="18"/>
      <c r="K1527" s="18"/>
      <c r="L1527" s="10"/>
      <c r="M1527" s="18"/>
      <c r="N1527" s="10"/>
      <c r="O1527" s="18"/>
      <c r="P1527" s="18"/>
      <c r="Q1527" s="18"/>
      <c r="R1527" s="18"/>
      <c r="S1527" s="18"/>
    </row>
    <row r="1528" spans="1:19" x14ac:dyDescent="0.25">
      <c r="A1528" s="9" t="s">
        <v>38</v>
      </c>
      <c r="B1528" s="17" t="s">
        <v>105</v>
      </c>
      <c r="C1528" s="18">
        <f t="shared" si="115"/>
        <v>833408.97</v>
      </c>
      <c r="D1528" s="18">
        <v>4698.79</v>
      </c>
      <c r="E1528" s="18"/>
      <c r="F1528" s="18"/>
      <c r="G1528" s="18"/>
      <c r="H1528" s="18"/>
      <c r="I1528" s="18"/>
      <c r="J1528" s="18">
        <v>828710.18</v>
      </c>
      <c r="K1528" s="18"/>
      <c r="L1528" s="10"/>
      <c r="M1528" s="18"/>
      <c r="N1528" s="10"/>
      <c r="O1528" s="18"/>
      <c r="P1528" s="18"/>
      <c r="Q1528" s="18"/>
      <c r="R1528" s="18"/>
      <c r="S1528" s="18"/>
    </row>
    <row r="1529" spans="1:19" x14ac:dyDescent="0.25">
      <c r="A1529" s="9" t="s">
        <v>39</v>
      </c>
      <c r="B1529" s="17" t="s">
        <v>113</v>
      </c>
      <c r="C1529" s="18">
        <f t="shared" si="115"/>
        <v>2548062.7599999998</v>
      </c>
      <c r="D1529" s="18">
        <v>14366.06</v>
      </c>
      <c r="E1529" s="18"/>
      <c r="F1529" s="18"/>
      <c r="G1529" s="18">
        <v>2533696.7000000002</v>
      </c>
      <c r="H1529" s="18"/>
      <c r="I1529" s="18"/>
      <c r="J1529" s="18"/>
      <c r="K1529" s="18"/>
      <c r="L1529" s="10"/>
      <c r="M1529" s="18"/>
      <c r="N1529" s="10"/>
      <c r="O1529" s="18"/>
      <c r="P1529" s="18"/>
      <c r="Q1529" s="18"/>
      <c r="R1529" s="18"/>
      <c r="S1529" s="18"/>
    </row>
    <row r="1530" spans="1:19" x14ac:dyDescent="0.25">
      <c r="A1530" s="9" t="s">
        <v>40</v>
      </c>
      <c r="B1530" s="17" t="s">
        <v>115</v>
      </c>
      <c r="C1530" s="18">
        <f t="shared" si="115"/>
        <v>2272505.94</v>
      </c>
      <c r="D1530" s="18">
        <v>12812.46</v>
      </c>
      <c r="E1530" s="18"/>
      <c r="F1530" s="18"/>
      <c r="G1530" s="18"/>
      <c r="H1530" s="18">
        <v>1622278.4</v>
      </c>
      <c r="I1530" s="18">
        <v>637415.07999999996</v>
      </c>
      <c r="J1530" s="18"/>
      <c r="K1530" s="18"/>
      <c r="L1530" s="10"/>
      <c r="M1530" s="18"/>
      <c r="N1530" s="10"/>
      <c r="O1530" s="18"/>
      <c r="P1530" s="18"/>
      <c r="Q1530" s="18"/>
      <c r="R1530" s="18"/>
      <c r="S1530" s="18"/>
    </row>
    <row r="1531" spans="1:19" x14ac:dyDescent="0.25">
      <c r="A1531" s="9" t="s">
        <v>68</v>
      </c>
      <c r="B1531" s="17" t="s">
        <v>119</v>
      </c>
      <c r="C1531" s="18">
        <f t="shared" si="115"/>
        <v>20436206.149999999</v>
      </c>
      <c r="D1531" s="18">
        <v>92304.36</v>
      </c>
      <c r="E1531" s="18"/>
      <c r="F1531" s="18">
        <v>4064471.13</v>
      </c>
      <c r="G1531" s="18">
        <v>5748609.7000000002</v>
      </c>
      <c r="H1531" s="18">
        <v>2792072.99</v>
      </c>
      <c r="I1531" s="18">
        <v>1448251.1</v>
      </c>
      <c r="J1531" s="18">
        <v>2136094.17</v>
      </c>
      <c r="K1531" s="18"/>
      <c r="L1531" s="10"/>
      <c r="M1531" s="18"/>
      <c r="N1531" s="10"/>
      <c r="O1531" s="18"/>
      <c r="P1531" s="18">
        <v>4154402.7</v>
      </c>
      <c r="Q1531" s="18"/>
      <c r="R1531" s="18"/>
      <c r="S1531" s="18"/>
    </row>
    <row r="1532" spans="1:19" x14ac:dyDescent="0.25">
      <c r="A1532" s="9" t="s">
        <v>70</v>
      </c>
      <c r="B1532" s="17" t="s">
        <v>137</v>
      </c>
      <c r="C1532" s="18">
        <f t="shared" si="115"/>
        <v>20585749.34</v>
      </c>
      <c r="D1532" s="18"/>
      <c r="E1532" s="18"/>
      <c r="F1532" s="18">
        <v>4206332.1399999997</v>
      </c>
      <c r="G1532" s="18">
        <v>6434635.0599999996</v>
      </c>
      <c r="H1532" s="18">
        <v>4550543.55</v>
      </c>
      <c r="I1532" s="18">
        <v>2173346.63</v>
      </c>
      <c r="J1532" s="18">
        <v>3220891.96</v>
      </c>
      <c r="K1532" s="18"/>
      <c r="L1532" s="10"/>
      <c r="M1532" s="18"/>
      <c r="N1532" s="10"/>
      <c r="O1532" s="18"/>
      <c r="P1532" s="18"/>
      <c r="Q1532" s="18"/>
      <c r="R1532" s="18"/>
      <c r="S1532" s="18"/>
    </row>
    <row r="1533" spans="1:19" x14ac:dyDescent="0.25">
      <c r="A1533" s="9" t="s">
        <v>72</v>
      </c>
      <c r="B1533" s="17" t="s">
        <v>129</v>
      </c>
      <c r="C1533" s="18">
        <f t="shared" si="115"/>
        <v>10048807.609999999</v>
      </c>
      <c r="D1533" s="18">
        <v>56648.229999999996</v>
      </c>
      <c r="E1533" s="18"/>
      <c r="F1533" s="18"/>
      <c r="G1533" s="18">
        <v>3184151.12</v>
      </c>
      <c r="H1533" s="18">
        <v>1920254.12</v>
      </c>
      <c r="I1533" s="18">
        <v>802531.75</v>
      </c>
      <c r="J1533" s="18">
        <v>1267830.8899999999</v>
      </c>
      <c r="K1533" s="18"/>
      <c r="L1533" s="10"/>
      <c r="M1533" s="18"/>
      <c r="N1533" s="10"/>
      <c r="O1533" s="18"/>
      <c r="P1533" s="18">
        <v>2817391.5</v>
      </c>
      <c r="Q1533" s="18"/>
      <c r="R1533" s="18"/>
      <c r="S1533" s="18"/>
    </row>
    <row r="1534" spans="1:19" x14ac:dyDescent="0.25">
      <c r="A1534" s="9" t="s">
        <v>74</v>
      </c>
      <c r="B1534" s="17" t="s">
        <v>131</v>
      </c>
      <c r="C1534" s="18">
        <f t="shared" si="115"/>
        <v>8651682.5199999996</v>
      </c>
      <c r="D1534" s="18">
        <v>48778.460000000006</v>
      </c>
      <c r="E1534" s="18"/>
      <c r="F1534" s="18"/>
      <c r="G1534" s="18">
        <v>3112558.5</v>
      </c>
      <c r="H1534" s="18">
        <v>1908069.46</v>
      </c>
      <c r="I1534" s="18">
        <v>747716.89</v>
      </c>
      <c r="J1534" s="18">
        <v>1264581.3600000001</v>
      </c>
      <c r="K1534" s="18"/>
      <c r="L1534" s="10"/>
      <c r="M1534" s="18"/>
      <c r="N1534" s="10"/>
      <c r="O1534" s="18"/>
      <c r="P1534" s="18">
        <v>1569977.85</v>
      </c>
      <c r="Q1534" s="18"/>
      <c r="R1534" s="18"/>
      <c r="S1534" s="18"/>
    </row>
    <row r="1535" spans="1:19" x14ac:dyDescent="0.25">
      <c r="A1535" s="9" t="s">
        <v>76</v>
      </c>
      <c r="B1535" s="17" t="s">
        <v>133</v>
      </c>
      <c r="C1535" s="18">
        <f t="shared" si="115"/>
        <v>7208692.0499999998</v>
      </c>
      <c r="D1535" s="18">
        <v>40642.850000000006</v>
      </c>
      <c r="E1535" s="18"/>
      <c r="F1535" s="18"/>
      <c r="G1535" s="18">
        <v>3119001.22</v>
      </c>
      <c r="H1535" s="18">
        <v>1916018.61</v>
      </c>
      <c r="I1535" s="18">
        <v>807867.36</v>
      </c>
      <c r="J1535" s="18">
        <v>1325162.01</v>
      </c>
      <c r="K1535" s="18"/>
      <c r="L1535" s="10"/>
      <c r="M1535" s="18"/>
      <c r="N1535" s="10"/>
      <c r="O1535" s="18"/>
      <c r="P1535" s="18"/>
      <c r="Q1535" s="18"/>
      <c r="R1535" s="18"/>
      <c r="S1535" s="18"/>
    </row>
    <row r="1536" spans="1:19" ht="15" customHeight="1" x14ac:dyDescent="0.25">
      <c r="A1536" s="9" t="s">
        <v>78</v>
      </c>
      <c r="B1536" s="17" t="s">
        <v>141</v>
      </c>
      <c r="C1536" s="18">
        <f t="shared" si="115"/>
        <v>19584693.57</v>
      </c>
      <c r="D1536" s="18">
        <v>90840.76999999999</v>
      </c>
      <c r="E1536" s="18"/>
      <c r="F1536" s="18">
        <v>3472553.44</v>
      </c>
      <c r="G1536" s="18">
        <v>5668201.2699999996</v>
      </c>
      <c r="H1536" s="18">
        <v>2761488.38</v>
      </c>
      <c r="I1536" s="18">
        <v>1432635.28</v>
      </c>
      <c r="J1536" s="18">
        <v>2089802.34</v>
      </c>
      <c r="K1536" s="18"/>
      <c r="L1536" s="10"/>
      <c r="M1536" s="18"/>
      <c r="N1536" s="10"/>
      <c r="O1536" s="18"/>
      <c r="P1536" s="18">
        <v>4069172.09</v>
      </c>
      <c r="Q1536" s="18"/>
      <c r="R1536" s="18"/>
      <c r="S1536" s="18"/>
    </row>
    <row r="1537" spans="1:19" ht="15" customHeight="1" x14ac:dyDescent="0.25">
      <c r="A1537" s="9" t="s">
        <v>80</v>
      </c>
      <c r="B1537" s="17" t="s">
        <v>143</v>
      </c>
      <c r="C1537" s="18">
        <f t="shared" si="115"/>
        <v>3228083.41</v>
      </c>
      <c r="D1537" s="18">
        <v>6141.15</v>
      </c>
      <c r="E1537" s="18"/>
      <c r="F1537" s="18">
        <v>2138846.75</v>
      </c>
      <c r="G1537" s="18"/>
      <c r="H1537" s="18"/>
      <c r="I1537" s="18"/>
      <c r="J1537" s="18">
        <v>1083095.51</v>
      </c>
      <c r="K1537" s="18"/>
      <c r="L1537" s="10"/>
      <c r="M1537" s="18"/>
      <c r="N1537" s="10"/>
      <c r="O1537" s="18"/>
      <c r="P1537" s="18"/>
      <c r="Q1537" s="18"/>
      <c r="R1537" s="18"/>
      <c r="S1537" s="18"/>
    </row>
    <row r="1538" spans="1:19" ht="15" customHeight="1" x14ac:dyDescent="0.25">
      <c r="A1538" s="9" t="s">
        <v>82</v>
      </c>
      <c r="B1538" s="17" t="s">
        <v>145</v>
      </c>
      <c r="C1538" s="18">
        <f t="shared" si="115"/>
        <v>15399293.08</v>
      </c>
      <c r="D1538" s="18">
        <v>63857.509999999995</v>
      </c>
      <c r="E1538" s="18"/>
      <c r="F1538" s="18">
        <v>3470106.35</v>
      </c>
      <c r="G1538" s="18">
        <v>5741315.7599999998</v>
      </c>
      <c r="H1538" s="18"/>
      <c r="I1538" s="18"/>
      <c r="J1538" s="18">
        <v>2050925.46</v>
      </c>
      <c r="K1538" s="18"/>
      <c r="L1538" s="10"/>
      <c r="M1538" s="18"/>
      <c r="N1538" s="10"/>
      <c r="O1538" s="18"/>
      <c r="P1538" s="18">
        <v>4073088</v>
      </c>
      <c r="Q1538" s="18"/>
      <c r="R1538" s="18"/>
      <c r="S1538" s="18"/>
    </row>
    <row r="1539" spans="1:19" x14ac:dyDescent="0.25">
      <c r="A1539" s="9" t="s">
        <v>84</v>
      </c>
      <c r="B1539" s="17" t="s">
        <v>147</v>
      </c>
      <c r="C1539" s="18">
        <f t="shared" si="115"/>
        <v>19314762.23</v>
      </c>
      <c r="D1539" s="18">
        <v>64204.31</v>
      </c>
      <c r="E1539" s="18"/>
      <c r="F1539" s="18">
        <v>3470106.35</v>
      </c>
      <c r="G1539" s="18">
        <v>5741315.7599999998</v>
      </c>
      <c r="H1539" s="18">
        <v>2662281.59</v>
      </c>
      <c r="I1539" s="18">
        <v>1278323.33</v>
      </c>
      <c r="J1539" s="18">
        <v>2112090.09</v>
      </c>
      <c r="K1539" s="18"/>
      <c r="L1539" s="10"/>
      <c r="M1539" s="18"/>
      <c r="N1539" s="10"/>
      <c r="O1539" s="18"/>
      <c r="P1539" s="18">
        <v>3986440.8</v>
      </c>
      <c r="Q1539" s="18"/>
      <c r="R1539" s="18"/>
      <c r="S1539" s="18"/>
    </row>
    <row r="1540" spans="1:19" x14ac:dyDescent="0.25">
      <c r="A1540" s="9" t="s">
        <v>86</v>
      </c>
      <c r="B1540" s="17" t="s">
        <v>149</v>
      </c>
      <c r="C1540" s="18">
        <f t="shared" si="115"/>
        <v>5970141.8200000003</v>
      </c>
      <c r="D1540" s="18">
        <v>33659.85</v>
      </c>
      <c r="E1540" s="18"/>
      <c r="F1540" s="18"/>
      <c r="G1540" s="18"/>
      <c r="H1540" s="18">
        <v>2461897.38</v>
      </c>
      <c r="I1540" s="18">
        <v>1369816.76</v>
      </c>
      <c r="J1540" s="18">
        <v>2104767.83</v>
      </c>
      <c r="K1540" s="18"/>
      <c r="L1540" s="10"/>
      <c r="M1540" s="18"/>
      <c r="N1540" s="10"/>
      <c r="O1540" s="18"/>
      <c r="P1540" s="18"/>
      <c r="Q1540" s="18"/>
      <c r="R1540" s="18"/>
      <c r="S1540" s="18"/>
    </row>
    <row r="1541" spans="1:19" x14ac:dyDescent="0.25">
      <c r="A1541" s="9" t="s">
        <v>88</v>
      </c>
      <c r="B1541" s="17" t="s">
        <v>151</v>
      </c>
      <c r="C1541" s="18">
        <f t="shared" si="115"/>
        <v>3508092.02</v>
      </c>
      <c r="D1541" s="18">
        <v>19778.73</v>
      </c>
      <c r="E1541" s="18"/>
      <c r="F1541" s="18"/>
      <c r="G1541" s="18"/>
      <c r="H1541" s="18">
        <v>1747014.39</v>
      </c>
      <c r="I1541" s="18">
        <v>639996.51</v>
      </c>
      <c r="J1541" s="18">
        <v>1101302.3899999999</v>
      </c>
      <c r="K1541" s="18"/>
      <c r="L1541" s="10"/>
      <c r="M1541" s="18"/>
      <c r="N1541" s="10"/>
      <c r="O1541" s="18"/>
      <c r="P1541" s="18"/>
      <c r="Q1541" s="18"/>
      <c r="R1541" s="18"/>
      <c r="S1541" s="18"/>
    </row>
    <row r="1542" spans="1:19" x14ac:dyDescent="0.25">
      <c r="A1542" s="9" t="s">
        <v>90</v>
      </c>
      <c r="B1542" s="17" t="s">
        <v>157</v>
      </c>
      <c r="C1542" s="18">
        <f t="shared" si="115"/>
        <v>15871836.630000001</v>
      </c>
      <c r="D1542" s="18">
        <v>89485.92</v>
      </c>
      <c r="E1542" s="18"/>
      <c r="F1542" s="18">
        <v>4077506.57</v>
      </c>
      <c r="G1542" s="18">
        <v>5944802.4699999997</v>
      </c>
      <c r="H1542" s="18"/>
      <c r="I1542" s="18"/>
      <c r="J1542" s="18">
        <v>1603898.07</v>
      </c>
      <c r="K1542" s="18"/>
      <c r="L1542" s="10"/>
      <c r="M1542" s="18"/>
      <c r="N1542" s="10"/>
      <c r="O1542" s="18"/>
      <c r="P1542" s="18">
        <v>4156143.6</v>
      </c>
      <c r="Q1542" s="18"/>
      <c r="R1542" s="18"/>
      <c r="S1542" s="18"/>
    </row>
    <row r="1543" spans="1:19" x14ac:dyDescent="0.25">
      <c r="A1543" s="9" t="s">
        <v>92</v>
      </c>
      <c r="B1543" s="17" t="s">
        <v>159</v>
      </c>
      <c r="C1543" s="18">
        <f t="shared" si="115"/>
        <v>1621000.22</v>
      </c>
      <c r="D1543" s="18">
        <v>9139.25</v>
      </c>
      <c r="E1543" s="18"/>
      <c r="F1543" s="18"/>
      <c r="G1543" s="18"/>
      <c r="H1543" s="18"/>
      <c r="I1543" s="18"/>
      <c r="J1543" s="18">
        <v>1611860.97</v>
      </c>
      <c r="K1543" s="18"/>
      <c r="L1543" s="10"/>
      <c r="M1543" s="18"/>
      <c r="N1543" s="10"/>
      <c r="O1543" s="18"/>
      <c r="P1543" s="18"/>
      <c r="Q1543" s="18"/>
      <c r="R1543" s="18"/>
      <c r="S1543" s="18"/>
    </row>
    <row r="1544" spans="1:19" x14ac:dyDescent="0.25">
      <c r="A1544" s="9" t="s">
        <v>94</v>
      </c>
      <c r="B1544" s="17" t="s">
        <v>161</v>
      </c>
      <c r="C1544" s="18">
        <f t="shared" si="115"/>
        <v>15324040.1</v>
      </c>
      <c r="D1544" s="18">
        <v>65991.049999999988</v>
      </c>
      <c r="E1544" s="18"/>
      <c r="F1544" s="18">
        <v>4089197.3</v>
      </c>
      <c r="G1544" s="18">
        <v>5978800.4299999997</v>
      </c>
      <c r="H1544" s="18"/>
      <c r="I1544" s="18"/>
      <c r="J1544" s="18">
        <v>1604343.32</v>
      </c>
      <c r="K1544" s="18"/>
      <c r="L1544" s="10"/>
      <c r="M1544" s="18"/>
      <c r="N1544" s="10"/>
      <c r="O1544" s="18"/>
      <c r="P1544" s="18">
        <v>3585708</v>
      </c>
      <c r="Q1544" s="18"/>
      <c r="R1544" s="18"/>
      <c r="S1544" s="18"/>
    </row>
    <row r="1545" spans="1:19" x14ac:dyDescent="0.25">
      <c r="A1545" s="9" t="s">
        <v>96</v>
      </c>
      <c r="B1545" s="17" t="s">
        <v>163</v>
      </c>
      <c r="C1545" s="18">
        <f t="shared" si="115"/>
        <v>2041559.74</v>
      </c>
      <c r="D1545" s="18">
        <v>9242.64</v>
      </c>
      <c r="E1545" s="18"/>
      <c r="F1545" s="18">
        <v>726457.1</v>
      </c>
      <c r="G1545" s="18"/>
      <c r="H1545" s="18">
        <v>559768.06000000006</v>
      </c>
      <c r="I1545" s="18">
        <v>343870.77</v>
      </c>
      <c r="J1545" s="18">
        <v>402221.17</v>
      </c>
      <c r="K1545" s="18"/>
      <c r="L1545" s="10"/>
      <c r="M1545" s="18"/>
      <c r="N1545" s="10"/>
      <c r="O1545" s="18"/>
      <c r="P1545" s="18"/>
      <c r="Q1545" s="18"/>
      <c r="R1545" s="18"/>
      <c r="S1545" s="18"/>
    </row>
    <row r="1546" spans="1:19" x14ac:dyDescent="0.25">
      <c r="A1546" s="9" t="s">
        <v>98</v>
      </c>
      <c r="B1546" s="17" t="s">
        <v>165</v>
      </c>
      <c r="C1546" s="18">
        <f t="shared" si="115"/>
        <v>1496739.58</v>
      </c>
      <c r="D1546" s="18">
        <v>8438.66</v>
      </c>
      <c r="E1546" s="18"/>
      <c r="F1546" s="18"/>
      <c r="G1546" s="18">
        <v>1084407.67</v>
      </c>
      <c r="H1546" s="18"/>
      <c r="I1546" s="18"/>
      <c r="J1546" s="18">
        <v>403893.25</v>
      </c>
      <c r="K1546" s="18"/>
      <c r="L1546" s="10"/>
      <c r="M1546" s="18"/>
      <c r="N1546" s="10"/>
      <c r="O1546" s="18"/>
      <c r="P1546" s="18"/>
      <c r="Q1546" s="18"/>
      <c r="R1546" s="18"/>
      <c r="S1546" s="18"/>
    </row>
    <row r="1547" spans="1:19" x14ac:dyDescent="0.25">
      <c r="A1547" s="33"/>
      <c r="B1547" s="33" t="s">
        <v>1942</v>
      </c>
      <c r="C1547" s="18">
        <f>ROUND(D1547+E1547+F1547+G1547+H1547+I1547+J1547+K1547+M1547+O1547+P1547+Q1547+R1547+S1547,2)</f>
        <v>271707242.23000002</v>
      </c>
      <c r="D1547" s="18">
        <f t="shared" ref="D1547:S1547" si="116">SUM(D1517:D1546)</f>
        <v>1187762.9099999999</v>
      </c>
      <c r="E1547" s="18">
        <f t="shared" si="116"/>
        <v>0</v>
      </c>
      <c r="F1547" s="18">
        <f t="shared" si="116"/>
        <v>44281526.359999999</v>
      </c>
      <c r="G1547" s="18">
        <f t="shared" si="116"/>
        <v>84004605.779999986</v>
      </c>
      <c r="H1547" s="18">
        <f t="shared" si="116"/>
        <v>43851603.870000012</v>
      </c>
      <c r="I1547" s="18">
        <f t="shared" si="116"/>
        <v>20322050.870000001</v>
      </c>
      <c r="J1547" s="18">
        <f t="shared" si="116"/>
        <v>41760588.88000001</v>
      </c>
      <c r="K1547" s="18">
        <f t="shared" si="116"/>
        <v>0</v>
      </c>
      <c r="L1547" s="10">
        <f t="shared" si="116"/>
        <v>0</v>
      </c>
      <c r="M1547" s="18">
        <f t="shared" si="116"/>
        <v>0</v>
      </c>
      <c r="N1547" s="18" t="s">
        <v>42</v>
      </c>
      <c r="O1547" s="18">
        <f t="shared" si="116"/>
        <v>0</v>
      </c>
      <c r="P1547" s="18">
        <f t="shared" si="116"/>
        <v>36299103.560000002</v>
      </c>
      <c r="Q1547" s="18">
        <f t="shared" si="116"/>
        <v>0</v>
      </c>
      <c r="R1547" s="18">
        <f t="shared" si="116"/>
        <v>0</v>
      </c>
      <c r="S1547" s="18">
        <f t="shared" si="116"/>
        <v>0</v>
      </c>
    </row>
    <row r="1548" spans="1:19" x14ac:dyDescent="0.25">
      <c r="A1548" s="34"/>
      <c r="B1548" s="34" t="s">
        <v>167</v>
      </c>
      <c r="C1548" s="18"/>
      <c r="D1548" s="13"/>
      <c r="E1548" s="13"/>
      <c r="F1548" s="13"/>
      <c r="G1548" s="13"/>
      <c r="H1548" s="13"/>
      <c r="I1548" s="13"/>
      <c r="J1548" s="13"/>
      <c r="K1548" s="13"/>
      <c r="L1548" s="14"/>
      <c r="M1548" s="13"/>
      <c r="N1548" s="14"/>
      <c r="O1548" s="13"/>
      <c r="P1548" s="13"/>
      <c r="Q1548" s="13"/>
      <c r="R1548" s="13"/>
      <c r="S1548" s="13"/>
    </row>
    <row r="1549" spans="1:19" x14ac:dyDescent="0.25">
      <c r="A1549" s="9" t="s">
        <v>100</v>
      </c>
      <c r="B1549" s="17" t="s">
        <v>173</v>
      </c>
      <c r="C1549" s="18">
        <f>ROUNDUP(SUM(D1549+E1549+F1549+G1549+H1549+I1549+J1549+K1549+M1549+O1549+P1549+Q1549+R1549+S1549),2)</f>
        <v>3967948.82</v>
      </c>
      <c r="D1549" s="18">
        <v>77001.84</v>
      </c>
      <c r="E1549" s="18"/>
      <c r="F1549" s="18"/>
      <c r="G1549" s="18"/>
      <c r="H1549" s="18"/>
      <c r="I1549" s="18"/>
      <c r="J1549" s="18"/>
      <c r="K1549" s="18"/>
      <c r="L1549" s="10"/>
      <c r="M1549" s="18"/>
      <c r="N1549" s="10"/>
      <c r="O1549" s="18"/>
      <c r="P1549" s="18">
        <v>3890946.98</v>
      </c>
      <c r="Q1549" s="18"/>
      <c r="R1549" s="18"/>
      <c r="S1549" s="18"/>
    </row>
    <row r="1550" spans="1:19" x14ac:dyDescent="0.25">
      <c r="A1550" s="9">
        <f>1+A1549</f>
        <v>37</v>
      </c>
      <c r="B1550" s="17" t="s">
        <v>175</v>
      </c>
      <c r="C1550" s="18">
        <f>ROUNDUP(SUM(D1550+E1550+F1550+G1550+H1550+I1550+J1550+K1550+M1550+O1550+P1550+Q1550+R1550+S1550),2)</f>
        <v>2845860.4</v>
      </c>
      <c r="D1550" s="18">
        <v>55226.64</v>
      </c>
      <c r="E1550" s="18"/>
      <c r="F1550" s="18"/>
      <c r="G1550" s="18"/>
      <c r="H1550" s="18"/>
      <c r="I1550" s="18"/>
      <c r="J1550" s="18"/>
      <c r="K1550" s="18"/>
      <c r="L1550" s="10"/>
      <c r="M1550" s="18"/>
      <c r="N1550" s="10"/>
      <c r="O1550" s="18"/>
      <c r="P1550" s="18">
        <v>2790633.76</v>
      </c>
      <c r="Q1550" s="18"/>
      <c r="R1550" s="18"/>
      <c r="S1550" s="18"/>
    </row>
    <row r="1551" spans="1:19" x14ac:dyDescent="0.2">
      <c r="A1551" s="9" t="s">
        <v>104</v>
      </c>
      <c r="B1551" s="17" t="s">
        <v>183</v>
      </c>
      <c r="C1551" s="18">
        <f>ROUNDUP(SUM(D1551+E1551+F1551+G1551+H1551+I1551+J1551+K1551+M1551+O1551+P1551+Q1551+R1551+S1551),2)</f>
        <v>1265561.94</v>
      </c>
      <c r="D1551" s="3">
        <v>24559.439999999999</v>
      </c>
      <c r="E1551" s="18"/>
      <c r="F1551" s="18"/>
      <c r="G1551" s="18"/>
      <c r="H1551" s="18"/>
      <c r="I1551" s="18"/>
      <c r="J1551" s="18"/>
      <c r="K1551" s="18"/>
      <c r="L1551" s="10"/>
      <c r="M1551" s="18"/>
      <c r="N1551" s="10"/>
      <c r="O1551" s="18"/>
      <c r="P1551" s="18">
        <v>1241002.5</v>
      </c>
      <c r="Q1551" s="18"/>
      <c r="R1551" s="18"/>
      <c r="S1551" s="18"/>
    </row>
    <row r="1552" spans="1:19" x14ac:dyDescent="0.25">
      <c r="A1552" s="9" t="s">
        <v>106</v>
      </c>
      <c r="B1552" s="17" t="s">
        <v>185</v>
      </c>
      <c r="C1552" s="18">
        <f>ROUNDUP(SUM(D1552+E1552+F1552+G1552+H1552+I1552+J1552+K1552+M1552+O1552+P1552+Q1552+R1552+S1552),2)</f>
        <v>1452115.18</v>
      </c>
      <c r="D1552" s="18">
        <v>28179.68</v>
      </c>
      <c r="E1552" s="18"/>
      <c r="F1552" s="18"/>
      <c r="G1552" s="18"/>
      <c r="H1552" s="18"/>
      <c r="I1552" s="18"/>
      <c r="J1552" s="18"/>
      <c r="K1552" s="18"/>
      <c r="L1552" s="10"/>
      <c r="M1552" s="18"/>
      <c r="N1552" s="10"/>
      <c r="O1552" s="18"/>
      <c r="P1552" s="18">
        <v>1423935.5</v>
      </c>
      <c r="Q1552" s="18"/>
      <c r="R1552" s="18"/>
      <c r="S1552" s="18"/>
    </row>
    <row r="1553" spans="1:19" x14ac:dyDescent="0.25">
      <c r="A1553" s="9" t="s">
        <v>108</v>
      </c>
      <c r="B1553" s="17" t="s">
        <v>187</v>
      </c>
      <c r="C1553" s="18">
        <f>ROUNDUP(SUM(D1553+E1553+F1553+G1553+H1553+I1553+J1553+K1553+M1553+O1553+P1553+Q1553+R1553+S1553),2)</f>
        <v>5606684.46</v>
      </c>
      <c r="D1553" s="18">
        <v>108803.07</v>
      </c>
      <c r="E1553" s="18"/>
      <c r="F1553" s="18"/>
      <c r="G1553" s="18"/>
      <c r="H1553" s="18"/>
      <c r="I1553" s="18"/>
      <c r="J1553" s="18"/>
      <c r="K1553" s="18"/>
      <c r="L1553" s="10"/>
      <c r="M1553" s="18"/>
      <c r="N1553" s="10"/>
      <c r="O1553" s="18"/>
      <c r="P1553" s="18">
        <v>5497881.3899999997</v>
      </c>
      <c r="Q1553" s="18"/>
      <c r="R1553" s="18"/>
      <c r="S1553" s="18"/>
    </row>
    <row r="1554" spans="1:19" ht="30" x14ac:dyDescent="0.25">
      <c r="A1554" s="33"/>
      <c r="B1554" s="33" t="s">
        <v>1943</v>
      </c>
      <c r="C1554" s="18">
        <f>ROUND(D1554+E1554+F1554+G1554+H1554+I1554+J1554+K1554+M1554+O1554+P1554+Q1554+R1554+S1554,2)</f>
        <v>15138170.800000001</v>
      </c>
      <c r="D1554" s="18">
        <f t="shared" ref="D1554:S1554" si="117">SUM(D1549:D1553)</f>
        <v>293770.67</v>
      </c>
      <c r="E1554" s="18">
        <f t="shared" si="117"/>
        <v>0</v>
      </c>
      <c r="F1554" s="18">
        <f t="shared" si="117"/>
        <v>0</v>
      </c>
      <c r="G1554" s="18">
        <f t="shared" si="117"/>
        <v>0</v>
      </c>
      <c r="H1554" s="18">
        <f t="shared" si="117"/>
        <v>0</v>
      </c>
      <c r="I1554" s="18">
        <f t="shared" si="117"/>
        <v>0</v>
      </c>
      <c r="J1554" s="18">
        <f t="shared" si="117"/>
        <v>0</v>
      </c>
      <c r="K1554" s="18">
        <f t="shared" si="117"/>
        <v>0</v>
      </c>
      <c r="L1554" s="10">
        <f t="shared" si="117"/>
        <v>0</v>
      </c>
      <c r="M1554" s="18">
        <f t="shared" si="117"/>
        <v>0</v>
      </c>
      <c r="N1554" s="18" t="s">
        <v>42</v>
      </c>
      <c r="O1554" s="18">
        <f t="shared" si="117"/>
        <v>0</v>
      </c>
      <c r="P1554" s="18">
        <f t="shared" si="117"/>
        <v>14844400.129999999</v>
      </c>
      <c r="Q1554" s="18">
        <f t="shared" si="117"/>
        <v>0</v>
      </c>
      <c r="R1554" s="18">
        <f t="shared" si="117"/>
        <v>0</v>
      </c>
      <c r="S1554" s="18">
        <f t="shared" si="117"/>
        <v>0</v>
      </c>
    </row>
    <row r="1555" spans="1:19" x14ac:dyDescent="0.25">
      <c r="A1555" s="34"/>
      <c r="B1555" s="34" t="s">
        <v>197</v>
      </c>
      <c r="C1555" s="18"/>
      <c r="D1555" s="13"/>
      <c r="E1555" s="13"/>
      <c r="F1555" s="13"/>
      <c r="G1555" s="13"/>
      <c r="H1555" s="13"/>
      <c r="I1555" s="13"/>
      <c r="J1555" s="13"/>
      <c r="K1555" s="13"/>
      <c r="L1555" s="14"/>
      <c r="M1555" s="13"/>
      <c r="N1555" s="14"/>
      <c r="O1555" s="13"/>
      <c r="P1555" s="13"/>
      <c r="Q1555" s="13"/>
      <c r="R1555" s="13"/>
      <c r="S1555" s="13"/>
    </row>
    <row r="1556" spans="1:19" x14ac:dyDescent="0.25">
      <c r="A1556" s="9" t="s">
        <v>110</v>
      </c>
      <c r="B1556" s="17" t="s">
        <v>205</v>
      </c>
      <c r="C1556" s="18">
        <f t="shared" ref="C1556:C1567" si="118">ROUNDUP(SUM(D1556+E1556+F1556+G1556+H1556+I1556+J1556+K1556+M1556+O1556+P1556+Q1556+R1556+S1556),2)</f>
        <v>10273671.23</v>
      </c>
      <c r="D1556" s="18">
        <v>0</v>
      </c>
      <c r="E1556" s="18"/>
      <c r="F1556" s="20">
        <v>3294474.84</v>
      </c>
      <c r="G1556" s="20">
        <v>3478329.77</v>
      </c>
      <c r="H1556" s="20">
        <v>1296903.43</v>
      </c>
      <c r="I1556" s="20">
        <v>571670.68999999994</v>
      </c>
      <c r="J1556" s="20">
        <v>1632292.5</v>
      </c>
      <c r="K1556" s="18"/>
      <c r="L1556" s="10"/>
      <c r="M1556" s="18"/>
      <c r="N1556" s="10"/>
      <c r="O1556" s="18"/>
      <c r="P1556" s="18"/>
      <c r="Q1556" s="18"/>
      <c r="R1556" s="18"/>
      <c r="S1556" s="18"/>
    </row>
    <row r="1557" spans="1:19" x14ac:dyDescent="0.25">
      <c r="A1557" s="9" t="s">
        <v>112</v>
      </c>
      <c r="B1557" s="17" t="s">
        <v>207</v>
      </c>
      <c r="C1557" s="18">
        <f t="shared" si="118"/>
        <v>15670239.32</v>
      </c>
      <c r="D1557" s="18">
        <v>0</v>
      </c>
      <c r="E1557" s="18"/>
      <c r="F1557" s="20">
        <v>2010203.4</v>
      </c>
      <c r="G1557" s="20">
        <v>3176407.09</v>
      </c>
      <c r="H1557" s="20">
        <v>1512476.24</v>
      </c>
      <c r="I1557" s="20">
        <v>692444.66</v>
      </c>
      <c r="J1557" s="20">
        <v>634816.54</v>
      </c>
      <c r="K1557" s="18"/>
      <c r="L1557" s="10"/>
      <c r="M1557" s="18"/>
      <c r="N1557" s="10"/>
      <c r="O1557" s="18"/>
      <c r="P1557" s="18"/>
      <c r="Q1557" s="20">
        <v>7643891.3899999997</v>
      </c>
      <c r="R1557" s="18"/>
      <c r="S1557" s="18"/>
    </row>
    <row r="1558" spans="1:19" x14ac:dyDescent="0.25">
      <c r="A1558" s="9" t="s">
        <v>114</v>
      </c>
      <c r="B1558" s="17" t="s">
        <v>1944</v>
      </c>
      <c r="C1558" s="18">
        <f>ROUNDUP(SUM(D1558+E1558+F1558+G1558+H1558+I1558+J1558+K1558+M1558+O1558+P1558+Q1558+R1558+S1558),2)</f>
        <v>379023.52</v>
      </c>
      <c r="D1558" s="18"/>
      <c r="E1558" s="18"/>
      <c r="F1558" s="18"/>
      <c r="G1558" s="18"/>
      <c r="H1558" s="18">
        <v>259825.29</v>
      </c>
      <c r="I1558" s="18">
        <v>119198.23</v>
      </c>
      <c r="J1558" s="18"/>
      <c r="K1558" s="18"/>
      <c r="L1558" s="10"/>
      <c r="M1558" s="18"/>
      <c r="N1558" s="10"/>
      <c r="O1558" s="18"/>
      <c r="P1558" s="18"/>
      <c r="Q1558" s="18"/>
      <c r="R1558" s="18"/>
      <c r="S1558" s="18"/>
    </row>
    <row r="1559" spans="1:19" x14ac:dyDescent="0.25">
      <c r="A1559" s="9" t="s">
        <v>116</v>
      </c>
      <c r="B1559" s="17" t="s">
        <v>223</v>
      </c>
      <c r="C1559" s="18">
        <f t="shared" si="118"/>
        <v>15854299.640000001</v>
      </c>
      <c r="D1559" s="18">
        <v>0</v>
      </c>
      <c r="E1559" s="18"/>
      <c r="F1559" s="18"/>
      <c r="G1559" s="20">
        <v>3470536.42</v>
      </c>
      <c r="H1559" s="20">
        <v>1297432.8999999999</v>
      </c>
      <c r="I1559" s="20">
        <v>583582.51</v>
      </c>
      <c r="J1559" s="20">
        <v>1328470.73</v>
      </c>
      <c r="K1559" s="18"/>
      <c r="L1559" s="10"/>
      <c r="M1559" s="18"/>
      <c r="N1559" s="10" t="s">
        <v>552</v>
      </c>
      <c r="O1559" s="20">
        <v>9174277.0800000001</v>
      </c>
      <c r="P1559" s="18"/>
      <c r="Q1559" s="18"/>
      <c r="R1559" s="18"/>
      <c r="S1559" s="18"/>
    </row>
    <row r="1560" spans="1:19" x14ac:dyDescent="0.25">
      <c r="A1560" s="9" t="s">
        <v>118</v>
      </c>
      <c r="B1560" s="17" t="s">
        <v>225</v>
      </c>
      <c r="C1560" s="18">
        <f t="shared" si="118"/>
        <v>2579420.7999999998</v>
      </c>
      <c r="D1560" s="18"/>
      <c r="E1560" s="18"/>
      <c r="F1560" s="18"/>
      <c r="G1560" s="20">
        <v>2579420.7999999998</v>
      </c>
      <c r="H1560" s="18"/>
      <c r="I1560" s="18"/>
      <c r="J1560" s="18"/>
      <c r="K1560" s="18"/>
      <c r="L1560" s="10"/>
      <c r="M1560" s="18"/>
      <c r="N1560" s="10"/>
      <c r="O1560" s="18"/>
      <c r="P1560" s="18"/>
      <c r="Q1560" s="18"/>
      <c r="R1560" s="18"/>
      <c r="S1560" s="18"/>
    </row>
    <row r="1561" spans="1:19" x14ac:dyDescent="0.25">
      <c r="A1561" s="9" t="s">
        <v>120</v>
      </c>
      <c r="B1561" s="17" t="s">
        <v>227</v>
      </c>
      <c r="C1561" s="18">
        <f t="shared" si="118"/>
        <v>21305601.710000001</v>
      </c>
      <c r="D1561" s="18">
        <v>0</v>
      </c>
      <c r="E1561" s="18"/>
      <c r="F1561" s="18"/>
      <c r="G1561" s="20">
        <v>5009674.1500000004</v>
      </c>
      <c r="H1561" s="18"/>
      <c r="I1561" s="18"/>
      <c r="J1561" s="18"/>
      <c r="K1561" s="18"/>
      <c r="L1561" s="10"/>
      <c r="M1561" s="18"/>
      <c r="N1561" s="10" t="s">
        <v>552</v>
      </c>
      <c r="O1561" s="20">
        <v>16295927.560000001</v>
      </c>
      <c r="P1561" s="18"/>
      <c r="Q1561" s="18"/>
      <c r="R1561" s="18"/>
      <c r="S1561" s="18"/>
    </row>
    <row r="1562" spans="1:19" x14ac:dyDescent="0.25">
      <c r="A1562" s="9" t="s">
        <v>122</v>
      </c>
      <c r="B1562" s="17" t="s">
        <v>229</v>
      </c>
      <c r="C1562" s="18">
        <f t="shared" si="118"/>
        <v>9922560.9199999999</v>
      </c>
      <c r="D1562" s="18">
        <v>0</v>
      </c>
      <c r="E1562" s="18"/>
      <c r="F1562" s="18"/>
      <c r="G1562" s="18"/>
      <c r="H1562" s="18"/>
      <c r="I1562" s="18"/>
      <c r="J1562" s="18"/>
      <c r="K1562" s="18"/>
      <c r="L1562" s="10"/>
      <c r="M1562" s="18"/>
      <c r="N1562" s="10" t="s">
        <v>552</v>
      </c>
      <c r="O1562" s="18">
        <v>9922560.9199999999</v>
      </c>
      <c r="P1562" s="18"/>
      <c r="Q1562" s="18"/>
      <c r="R1562" s="18"/>
      <c r="S1562" s="18"/>
    </row>
    <row r="1563" spans="1:19" x14ac:dyDescent="0.25">
      <c r="A1563" s="9" t="s">
        <v>124</v>
      </c>
      <c r="B1563" s="17" t="s">
        <v>240</v>
      </c>
      <c r="C1563" s="18">
        <f t="shared" si="118"/>
        <v>25457880.32</v>
      </c>
      <c r="D1563" s="18">
        <v>0</v>
      </c>
      <c r="E1563" s="18"/>
      <c r="F1563" s="18"/>
      <c r="G1563" s="18">
        <v>3714876</v>
      </c>
      <c r="H1563" s="18">
        <v>1707602</v>
      </c>
      <c r="I1563" s="18">
        <v>795757.66</v>
      </c>
      <c r="J1563" s="18">
        <v>1682506.64</v>
      </c>
      <c r="K1563" s="18"/>
      <c r="L1563" s="10"/>
      <c r="M1563" s="18"/>
      <c r="N1563" s="10"/>
      <c r="O1563" s="18"/>
      <c r="P1563" s="18"/>
      <c r="Q1563" s="18">
        <v>17557138.02</v>
      </c>
      <c r="R1563" s="18"/>
      <c r="S1563" s="18"/>
    </row>
    <row r="1564" spans="1:19" x14ac:dyDescent="0.25">
      <c r="A1564" s="9" t="s">
        <v>126</v>
      </c>
      <c r="B1564" s="17" t="s">
        <v>242</v>
      </c>
      <c r="C1564" s="18">
        <f t="shared" si="118"/>
        <v>20362662.879999999</v>
      </c>
      <c r="D1564" s="18">
        <v>0</v>
      </c>
      <c r="E1564" s="18"/>
      <c r="F1564" s="18"/>
      <c r="G1564" s="18">
        <v>3103858.85</v>
      </c>
      <c r="H1564" s="18">
        <v>1300134.6000000001</v>
      </c>
      <c r="I1564" s="18">
        <v>602197.52</v>
      </c>
      <c r="J1564" s="18">
        <v>1675417.55</v>
      </c>
      <c r="K1564" s="18"/>
      <c r="L1564" s="10"/>
      <c r="M1564" s="18"/>
      <c r="N1564" s="10"/>
      <c r="O1564" s="18"/>
      <c r="P1564" s="18"/>
      <c r="Q1564" s="18">
        <v>13681054.359999999</v>
      </c>
      <c r="R1564" s="18"/>
      <c r="S1564" s="18"/>
    </row>
    <row r="1565" spans="1:19" x14ac:dyDescent="0.25">
      <c r="A1565" s="9" t="s">
        <v>128</v>
      </c>
      <c r="B1565" s="17" t="s">
        <v>244</v>
      </c>
      <c r="C1565" s="18">
        <f t="shared" si="118"/>
        <v>19675531.940000001</v>
      </c>
      <c r="D1565" s="18">
        <v>0</v>
      </c>
      <c r="E1565" s="18"/>
      <c r="F1565" s="18"/>
      <c r="G1565" s="18">
        <v>3859983.95</v>
      </c>
      <c r="H1565" s="18">
        <v>2120873.7599999998</v>
      </c>
      <c r="I1565" s="18">
        <v>995591.23</v>
      </c>
      <c r="J1565" s="18">
        <v>880248.51</v>
      </c>
      <c r="K1565" s="18"/>
      <c r="L1565" s="10"/>
      <c r="M1565" s="18"/>
      <c r="N1565" s="10"/>
      <c r="O1565" s="18"/>
      <c r="P1565" s="18"/>
      <c r="Q1565" s="18">
        <v>11818834.49</v>
      </c>
      <c r="R1565" s="18"/>
      <c r="S1565" s="18"/>
    </row>
    <row r="1566" spans="1:19" x14ac:dyDescent="0.25">
      <c r="A1566" s="9" t="s">
        <v>130</v>
      </c>
      <c r="B1566" s="17" t="s">
        <v>248</v>
      </c>
      <c r="C1566" s="18">
        <f t="shared" si="118"/>
        <v>27390546.43</v>
      </c>
      <c r="D1566" s="18">
        <v>0</v>
      </c>
      <c r="E1566" s="18"/>
      <c r="F1566" s="18"/>
      <c r="G1566" s="18">
        <v>4865029.08</v>
      </c>
      <c r="H1566" s="18">
        <v>3279738.37</v>
      </c>
      <c r="I1566" s="18">
        <v>1543033.9</v>
      </c>
      <c r="J1566" s="18">
        <v>1708410.8</v>
      </c>
      <c r="K1566" s="18"/>
      <c r="L1566" s="10"/>
      <c r="M1566" s="18"/>
      <c r="N1566" s="10"/>
      <c r="O1566" s="18"/>
      <c r="P1566" s="18"/>
      <c r="Q1566" s="18">
        <v>15994334.279999999</v>
      </c>
      <c r="R1566" s="18"/>
      <c r="S1566" s="18"/>
    </row>
    <row r="1567" spans="1:19" x14ac:dyDescent="0.25">
      <c r="A1567" s="9" t="s">
        <v>132</v>
      </c>
      <c r="B1567" s="17" t="s">
        <v>252</v>
      </c>
      <c r="C1567" s="18">
        <f t="shared" si="118"/>
        <v>28965039.559999999</v>
      </c>
      <c r="D1567" s="18">
        <v>0</v>
      </c>
      <c r="E1567" s="18"/>
      <c r="F1567" s="18"/>
      <c r="G1567" s="18">
        <v>3838941.41</v>
      </c>
      <c r="H1567" s="18">
        <v>2430308.4500000002</v>
      </c>
      <c r="I1567" s="18">
        <v>1141736.83</v>
      </c>
      <c r="J1567" s="18">
        <v>1191231.19</v>
      </c>
      <c r="K1567" s="18"/>
      <c r="L1567" s="10"/>
      <c r="M1567" s="18"/>
      <c r="N1567" s="10" t="s">
        <v>552</v>
      </c>
      <c r="O1567" s="18">
        <v>8590738.9399999995</v>
      </c>
      <c r="P1567" s="18"/>
      <c r="Q1567" s="18">
        <v>11772082.74</v>
      </c>
      <c r="R1567" s="18"/>
      <c r="S1567" s="18"/>
    </row>
    <row r="1568" spans="1:19" ht="26.25" customHeight="1" x14ac:dyDescent="0.25">
      <c r="A1568" s="33"/>
      <c r="B1568" s="33" t="s">
        <v>1945</v>
      </c>
      <c r="C1568" s="18">
        <f>ROUND(D1568+E1568+F1568+G1568+H1568+I1568+J1568+K1568+M1568+O1568+P1568+Q1568+R1568+S1568,2)</f>
        <v>197836478.27000001</v>
      </c>
      <c r="D1568" s="18">
        <f t="shared" ref="D1568:S1568" si="119">SUM(D1556:D1567)</f>
        <v>0</v>
      </c>
      <c r="E1568" s="18">
        <f t="shared" si="119"/>
        <v>0</v>
      </c>
      <c r="F1568" s="18">
        <f t="shared" si="119"/>
        <v>5304678.24</v>
      </c>
      <c r="G1568" s="18">
        <f t="shared" si="119"/>
        <v>37097057.519999996</v>
      </c>
      <c r="H1568" s="18">
        <f t="shared" si="119"/>
        <v>15205295.039999999</v>
      </c>
      <c r="I1568" s="18">
        <f t="shared" si="119"/>
        <v>7045213.2300000004</v>
      </c>
      <c r="J1568" s="18">
        <f t="shared" si="119"/>
        <v>10733394.459999999</v>
      </c>
      <c r="K1568" s="18">
        <f t="shared" si="119"/>
        <v>0</v>
      </c>
      <c r="L1568" s="10">
        <f t="shared" si="119"/>
        <v>0</v>
      </c>
      <c r="M1568" s="18">
        <f t="shared" si="119"/>
        <v>0</v>
      </c>
      <c r="N1568" s="18" t="s">
        <v>42</v>
      </c>
      <c r="O1568" s="18">
        <f t="shared" si="119"/>
        <v>43983504.5</v>
      </c>
      <c r="P1568" s="18">
        <f t="shared" si="119"/>
        <v>0</v>
      </c>
      <c r="Q1568" s="18">
        <f t="shared" si="119"/>
        <v>78467335.280000001</v>
      </c>
      <c r="R1568" s="18">
        <f t="shared" si="119"/>
        <v>0</v>
      </c>
      <c r="S1568" s="18">
        <f t="shared" si="119"/>
        <v>0</v>
      </c>
    </row>
    <row r="1569" spans="1:19" x14ac:dyDescent="0.25">
      <c r="A1569" s="34"/>
      <c r="B1569" s="34" t="s">
        <v>258</v>
      </c>
      <c r="C1569" s="18"/>
      <c r="D1569" s="13"/>
      <c r="E1569" s="13"/>
      <c r="F1569" s="13"/>
      <c r="G1569" s="13"/>
      <c r="H1569" s="13"/>
      <c r="I1569" s="13"/>
      <c r="J1569" s="13"/>
      <c r="K1569" s="13"/>
      <c r="L1569" s="14"/>
      <c r="M1569" s="13"/>
      <c r="N1569" s="14"/>
      <c r="O1569" s="13"/>
      <c r="P1569" s="13"/>
      <c r="Q1569" s="13"/>
      <c r="R1569" s="13"/>
      <c r="S1569" s="13"/>
    </row>
    <row r="1570" spans="1:19" x14ac:dyDescent="0.25">
      <c r="A1570" s="9" t="s">
        <v>134</v>
      </c>
      <c r="B1570" s="17" t="s">
        <v>1946</v>
      </c>
      <c r="C1570" s="18">
        <f>ROUNDUP(SUM(D1570+E1570+F1570+G1570+H1570+I1570+J1570+K1570+M1570+O1570+P1570+Q1570+R1570+S1570),2)</f>
        <v>3926997.59</v>
      </c>
      <c r="D1570" s="18">
        <v>79220.070000000007</v>
      </c>
      <c r="E1570" s="18">
        <v>107452.99</v>
      </c>
      <c r="F1570" s="18"/>
      <c r="G1570" s="18"/>
      <c r="H1570" s="18"/>
      <c r="I1570" s="18"/>
      <c r="J1570" s="18"/>
      <c r="K1570" s="18"/>
      <c r="L1570" s="10">
        <v>1</v>
      </c>
      <c r="M1570" s="18">
        <v>3740324.53</v>
      </c>
      <c r="N1570" s="10"/>
      <c r="O1570" s="18"/>
      <c r="P1570" s="18"/>
      <c r="Q1570" s="18"/>
      <c r="R1570" s="18"/>
      <c r="S1570" s="18"/>
    </row>
    <row r="1571" spans="1:19" x14ac:dyDescent="0.25">
      <c r="A1571" s="9" t="s">
        <v>136</v>
      </c>
      <c r="B1571" s="17" t="s">
        <v>1947</v>
      </c>
      <c r="C1571" s="18">
        <f>ROUNDUP(SUM(D1571+E1571+F1571+G1571+H1571+I1571+J1571+K1571+M1571+O1571+P1571+Q1571+R1571+S1571),2)</f>
        <v>11626802.74</v>
      </c>
      <c r="D1571" s="18">
        <v>237660.22</v>
      </c>
      <c r="E1571" s="18">
        <v>168168.94</v>
      </c>
      <c r="F1571" s="18"/>
      <c r="G1571" s="18"/>
      <c r="H1571" s="18"/>
      <c r="I1571" s="18"/>
      <c r="J1571" s="18"/>
      <c r="K1571" s="18"/>
      <c r="L1571" s="10">
        <v>3</v>
      </c>
      <c r="M1571" s="18">
        <v>11220973.58</v>
      </c>
      <c r="N1571" s="10"/>
      <c r="O1571" s="18"/>
      <c r="P1571" s="18"/>
      <c r="Q1571" s="18"/>
      <c r="R1571" s="18"/>
      <c r="S1571" s="18"/>
    </row>
    <row r="1572" spans="1:19" x14ac:dyDescent="0.25">
      <c r="A1572" s="9" t="s">
        <v>138</v>
      </c>
      <c r="B1572" s="17" t="s">
        <v>286</v>
      </c>
      <c r="C1572" s="18">
        <f>ROUNDUP(SUM(D1572+E1572+F1572+G1572+H1572+I1572+J1572+K1572+M1572+O1572+P1572+Q1572+R1572+S1572),2)</f>
        <v>599279.81999999995</v>
      </c>
      <c r="D1572" s="18"/>
      <c r="E1572" s="18"/>
      <c r="F1572" s="18">
        <v>599279.81999999995</v>
      </c>
      <c r="G1572" s="18"/>
      <c r="H1572" s="18"/>
      <c r="I1572" s="18"/>
      <c r="J1572" s="18"/>
      <c r="K1572" s="18"/>
      <c r="L1572" s="10"/>
      <c r="M1572" s="18"/>
      <c r="N1572" s="10"/>
      <c r="O1572" s="18"/>
      <c r="P1572" s="18"/>
      <c r="Q1572" s="18"/>
      <c r="R1572" s="18"/>
      <c r="S1572" s="18"/>
    </row>
    <row r="1573" spans="1:19" x14ac:dyDescent="0.25">
      <c r="A1573" s="9" t="s">
        <v>140</v>
      </c>
      <c r="B1573" s="17" t="s">
        <v>284</v>
      </c>
      <c r="C1573" s="18">
        <f>ROUNDUP(SUM(D1573+E1573+F1573+G1573+H1573+I1573+J1573+K1573+M1573+O1573+P1573+Q1573+R1573+S1573),2)</f>
        <v>1416785.81</v>
      </c>
      <c r="D1573" s="18"/>
      <c r="E1573" s="18"/>
      <c r="F1573" s="18">
        <v>898004.12</v>
      </c>
      <c r="G1573" s="18"/>
      <c r="H1573" s="18"/>
      <c r="I1573" s="18"/>
      <c r="J1573" s="18">
        <v>518781.69</v>
      </c>
      <c r="K1573" s="18"/>
      <c r="L1573" s="10"/>
      <c r="M1573" s="18"/>
      <c r="N1573" s="10"/>
      <c r="O1573" s="18"/>
      <c r="P1573" s="18"/>
      <c r="Q1573" s="18"/>
      <c r="R1573" s="18"/>
      <c r="S1573" s="18"/>
    </row>
    <row r="1574" spans="1:19" x14ac:dyDescent="0.25">
      <c r="A1574" s="33"/>
      <c r="B1574" s="33" t="s">
        <v>1948</v>
      </c>
      <c r="C1574" s="18">
        <f>ROUND(D1574+E1574+F1574+G1574+H1574+I1574+J1574+K1574+M1574+O1574+P1574+Q1574+R1574+S1574,2)</f>
        <v>17569865.960000001</v>
      </c>
      <c r="D1574" s="18">
        <f t="shared" ref="D1574:S1574" si="120">SUM(D1570:D1573)</f>
        <v>316880.29000000004</v>
      </c>
      <c r="E1574" s="18">
        <f t="shared" si="120"/>
        <v>275621.93</v>
      </c>
      <c r="F1574" s="18">
        <f t="shared" si="120"/>
        <v>1497283.94</v>
      </c>
      <c r="G1574" s="18">
        <f t="shared" si="120"/>
        <v>0</v>
      </c>
      <c r="H1574" s="18">
        <f t="shared" si="120"/>
        <v>0</v>
      </c>
      <c r="I1574" s="18">
        <f t="shared" si="120"/>
        <v>0</v>
      </c>
      <c r="J1574" s="18">
        <f t="shared" si="120"/>
        <v>518781.69</v>
      </c>
      <c r="K1574" s="18">
        <f t="shared" si="120"/>
        <v>0</v>
      </c>
      <c r="L1574" s="10">
        <f t="shared" si="120"/>
        <v>4</v>
      </c>
      <c r="M1574" s="18">
        <f t="shared" si="120"/>
        <v>14961298.109999999</v>
      </c>
      <c r="N1574" s="18" t="s">
        <v>42</v>
      </c>
      <c r="O1574" s="18">
        <f t="shared" si="120"/>
        <v>0</v>
      </c>
      <c r="P1574" s="18">
        <f t="shared" si="120"/>
        <v>0</v>
      </c>
      <c r="Q1574" s="18">
        <f t="shared" si="120"/>
        <v>0</v>
      </c>
      <c r="R1574" s="18">
        <f t="shared" si="120"/>
        <v>0</v>
      </c>
      <c r="S1574" s="18">
        <f t="shared" si="120"/>
        <v>0</v>
      </c>
    </row>
    <row r="1575" spans="1:19" x14ac:dyDescent="0.25">
      <c r="A1575" s="34"/>
      <c r="B1575" s="34" t="s">
        <v>288</v>
      </c>
      <c r="C1575" s="18"/>
      <c r="D1575" s="13"/>
      <c r="E1575" s="13"/>
      <c r="F1575" s="13"/>
      <c r="G1575" s="13"/>
      <c r="H1575" s="13"/>
      <c r="I1575" s="13"/>
      <c r="J1575" s="13"/>
      <c r="K1575" s="13"/>
      <c r="L1575" s="14"/>
      <c r="M1575" s="13"/>
      <c r="N1575" s="14"/>
      <c r="O1575" s="13"/>
      <c r="P1575" s="13"/>
      <c r="Q1575" s="13"/>
      <c r="R1575" s="13"/>
      <c r="S1575" s="13"/>
    </row>
    <row r="1576" spans="1:19" x14ac:dyDescent="0.25">
      <c r="A1576" s="9" t="s">
        <v>142</v>
      </c>
      <c r="B1576" s="17" t="s">
        <v>294</v>
      </c>
      <c r="C1576" s="18">
        <f t="shared" ref="C1576:C1614" si="121">ROUNDUP(SUM(D1576+E1576+F1576+G1576+H1576+I1576+J1576+K1576+M1576+O1576+P1576+Q1576+R1576+S1576),2)</f>
        <v>3195372.37</v>
      </c>
      <c r="D1576" s="18"/>
      <c r="E1576" s="18"/>
      <c r="F1576" s="18"/>
      <c r="G1576" s="18"/>
      <c r="H1576" s="18"/>
      <c r="I1576" s="18"/>
      <c r="J1576" s="18"/>
      <c r="K1576" s="18"/>
      <c r="L1576" s="10"/>
      <c r="M1576" s="18"/>
      <c r="N1576" s="10"/>
      <c r="O1576" s="18"/>
      <c r="P1576" s="20">
        <v>3195372.37</v>
      </c>
      <c r="Q1576" s="18"/>
      <c r="R1576" s="18"/>
      <c r="S1576" s="18"/>
    </row>
    <row r="1577" spans="1:19" x14ac:dyDescent="0.25">
      <c r="A1577" s="9" t="s">
        <v>144</v>
      </c>
      <c r="B1577" s="17" t="s">
        <v>298</v>
      </c>
      <c r="C1577" s="18">
        <f t="shared" si="121"/>
        <v>2447376.5</v>
      </c>
      <c r="D1577" s="18"/>
      <c r="E1577" s="18"/>
      <c r="F1577" s="18"/>
      <c r="G1577" s="20">
        <v>2447376.5</v>
      </c>
      <c r="H1577" s="18"/>
      <c r="I1577" s="18"/>
      <c r="J1577" s="18"/>
      <c r="K1577" s="18"/>
      <c r="L1577" s="10"/>
      <c r="M1577" s="18"/>
      <c r="N1577" s="10"/>
      <c r="O1577" s="18"/>
      <c r="P1577" s="18"/>
      <c r="Q1577" s="18"/>
      <c r="R1577" s="18"/>
      <c r="S1577" s="18"/>
    </row>
    <row r="1578" spans="1:19" x14ac:dyDescent="0.25">
      <c r="A1578" s="9" t="s">
        <v>146</v>
      </c>
      <c r="B1578" s="17" t="s">
        <v>302</v>
      </c>
      <c r="C1578" s="18">
        <f t="shared" si="121"/>
        <v>9809071.5</v>
      </c>
      <c r="D1578" s="18"/>
      <c r="E1578" s="18"/>
      <c r="F1578" s="18"/>
      <c r="G1578" s="18"/>
      <c r="H1578" s="18"/>
      <c r="I1578" s="18"/>
      <c r="J1578" s="18"/>
      <c r="K1578" s="18"/>
      <c r="L1578" s="10"/>
      <c r="M1578" s="18"/>
      <c r="N1578" s="10"/>
      <c r="O1578" s="18"/>
      <c r="P1578" s="18"/>
      <c r="Q1578" s="20">
        <v>9809071.5</v>
      </c>
      <c r="R1578" s="18"/>
      <c r="S1578" s="18"/>
    </row>
    <row r="1579" spans="1:19" x14ac:dyDescent="0.25">
      <c r="A1579" s="9" t="s">
        <v>148</v>
      </c>
      <c r="B1579" s="17" t="s">
        <v>304</v>
      </c>
      <c r="C1579" s="18">
        <f t="shared" si="121"/>
        <v>2840462.74</v>
      </c>
      <c r="D1579" s="18"/>
      <c r="E1579" s="18"/>
      <c r="F1579" s="18"/>
      <c r="G1579" s="18"/>
      <c r="H1579" s="18"/>
      <c r="I1579" s="18"/>
      <c r="J1579" s="18"/>
      <c r="K1579" s="18"/>
      <c r="L1579" s="10"/>
      <c r="M1579" s="18"/>
      <c r="N1579" s="10"/>
      <c r="O1579" s="18"/>
      <c r="P1579" s="18">
        <v>2840462.74</v>
      </c>
      <c r="Q1579" s="18"/>
      <c r="R1579" s="18"/>
      <c r="S1579" s="18"/>
    </row>
    <row r="1580" spans="1:19" x14ac:dyDescent="0.25">
      <c r="A1580" s="9" t="s">
        <v>150</v>
      </c>
      <c r="B1580" s="17" t="s">
        <v>306</v>
      </c>
      <c r="C1580" s="18">
        <f t="shared" si="121"/>
        <v>8819657.1600000001</v>
      </c>
      <c r="D1580" s="18"/>
      <c r="E1580" s="18"/>
      <c r="F1580" s="18"/>
      <c r="G1580" s="20">
        <v>6216111.5599999996</v>
      </c>
      <c r="H1580" s="20">
        <v>1714327.44</v>
      </c>
      <c r="I1580" s="20">
        <v>889218.16</v>
      </c>
      <c r="J1580" s="18"/>
      <c r="K1580" s="18"/>
      <c r="L1580" s="10"/>
      <c r="M1580" s="18"/>
      <c r="N1580" s="10"/>
      <c r="O1580" s="18"/>
      <c r="P1580" s="18"/>
      <c r="Q1580" s="18"/>
      <c r="R1580" s="18"/>
      <c r="S1580" s="18"/>
    </row>
    <row r="1581" spans="1:19" x14ac:dyDescent="0.25">
      <c r="A1581" s="9" t="s">
        <v>152</v>
      </c>
      <c r="B1581" s="17" t="s">
        <v>308</v>
      </c>
      <c r="C1581" s="18">
        <f t="shared" si="121"/>
        <v>28526122.48</v>
      </c>
      <c r="D1581" s="18"/>
      <c r="E1581" s="18"/>
      <c r="F1581" s="18"/>
      <c r="G1581" s="18"/>
      <c r="H1581" s="20">
        <v>3364451.56</v>
      </c>
      <c r="I1581" s="20">
        <v>885900.41</v>
      </c>
      <c r="J1581" s="18"/>
      <c r="K1581" s="18"/>
      <c r="L1581" s="10"/>
      <c r="M1581" s="18"/>
      <c r="N1581" s="10" t="s">
        <v>552</v>
      </c>
      <c r="O1581" s="18">
        <v>17583745.449999999</v>
      </c>
      <c r="P1581" s="18">
        <v>6692025.0599999996</v>
      </c>
      <c r="Q1581" s="18"/>
      <c r="R1581" s="18"/>
      <c r="S1581" s="18"/>
    </row>
    <row r="1582" spans="1:19" x14ac:dyDescent="0.25">
      <c r="A1582" s="9" t="s">
        <v>154</v>
      </c>
      <c r="B1582" s="17" t="s">
        <v>310</v>
      </c>
      <c r="C1582" s="18">
        <f t="shared" si="121"/>
        <v>16118401.390000001</v>
      </c>
      <c r="D1582" s="18"/>
      <c r="E1582" s="18"/>
      <c r="F1582" s="18"/>
      <c r="G1582" s="18"/>
      <c r="H1582" s="18"/>
      <c r="I1582" s="18"/>
      <c r="J1582" s="18">
        <v>1117980.49</v>
      </c>
      <c r="K1582" s="18"/>
      <c r="L1582" s="10"/>
      <c r="M1582" s="18"/>
      <c r="N1582" s="10"/>
      <c r="O1582" s="18"/>
      <c r="P1582" s="18"/>
      <c r="Q1582" s="18">
        <v>15000420.9</v>
      </c>
      <c r="R1582" s="18"/>
      <c r="S1582" s="18"/>
    </row>
    <row r="1583" spans="1:19" x14ac:dyDescent="0.25">
      <c r="A1583" s="9" t="s">
        <v>156</v>
      </c>
      <c r="B1583" s="17" t="s">
        <v>312</v>
      </c>
      <c r="C1583" s="18">
        <f t="shared" si="121"/>
        <v>23632401.09</v>
      </c>
      <c r="D1583" s="18"/>
      <c r="E1583" s="18"/>
      <c r="F1583" s="18"/>
      <c r="G1583" s="20">
        <v>5494838.4100000001</v>
      </c>
      <c r="H1583" s="18">
        <v>4075792.05</v>
      </c>
      <c r="I1583" s="18">
        <v>1598585</v>
      </c>
      <c r="J1583" s="18">
        <v>2329804.2200000002</v>
      </c>
      <c r="K1583" s="18"/>
      <c r="L1583" s="10"/>
      <c r="M1583" s="18"/>
      <c r="N1583" s="10" t="s">
        <v>552</v>
      </c>
      <c r="O1583" s="20">
        <v>10133381.41</v>
      </c>
      <c r="P1583" s="18"/>
      <c r="Q1583" s="18"/>
      <c r="R1583" s="18"/>
      <c r="S1583" s="18"/>
    </row>
    <row r="1584" spans="1:19" x14ac:dyDescent="0.25">
      <c r="A1584" s="9" t="s">
        <v>158</v>
      </c>
      <c r="B1584" s="17" t="s">
        <v>314</v>
      </c>
      <c r="C1584" s="18">
        <f t="shared" si="121"/>
        <v>35579743.670000002</v>
      </c>
      <c r="D1584" s="18"/>
      <c r="E1584" s="18"/>
      <c r="F1584" s="18"/>
      <c r="G1584" s="18">
        <v>8540646.0600000005</v>
      </c>
      <c r="H1584" s="18">
        <v>5784860.4000000004</v>
      </c>
      <c r="I1584" s="18">
        <v>2268906.5</v>
      </c>
      <c r="J1584" s="18"/>
      <c r="K1584" s="18"/>
      <c r="L1584" s="10"/>
      <c r="M1584" s="18"/>
      <c r="N1584" s="10" t="s">
        <v>552</v>
      </c>
      <c r="O1584" s="20">
        <v>14709208.119999999</v>
      </c>
      <c r="P1584" s="20">
        <v>4276122.59</v>
      </c>
      <c r="Q1584" s="18"/>
      <c r="R1584" s="18"/>
      <c r="S1584" s="18"/>
    </row>
    <row r="1585" spans="1:19" x14ac:dyDescent="0.25">
      <c r="A1585" s="9" t="s">
        <v>160</v>
      </c>
      <c r="B1585" s="17" t="s">
        <v>316</v>
      </c>
      <c r="C1585" s="18">
        <f t="shared" si="121"/>
        <v>26164530.670000002</v>
      </c>
      <c r="D1585" s="18"/>
      <c r="E1585" s="18"/>
      <c r="F1585" s="18"/>
      <c r="G1585" s="18"/>
      <c r="H1585" s="18">
        <v>5831280.4000000004</v>
      </c>
      <c r="I1585" s="18">
        <v>2287113.1</v>
      </c>
      <c r="J1585" s="18">
        <v>3333276.46</v>
      </c>
      <c r="K1585" s="18"/>
      <c r="L1585" s="10"/>
      <c r="M1585" s="18"/>
      <c r="N1585" s="10" t="s">
        <v>552</v>
      </c>
      <c r="O1585" s="20">
        <v>14712860.710000001</v>
      </c>
      <c r="P1585" s="18"/>
      <c r="Q1585" s="18"/>
      <c r="R1585" s="18"/>
      <c r="S1585" s="18"/>
    </row>
    <row r="1586" spans="1:19" x14ac:dyDescent="0.25">
      <c r="A1586" s="9" t="s">
        <v>162</v>
      </c>
      <c r="B1586" s="17" t="s">
        <v>318</v>
      </c>
      <c r="C1586" s="18">
        <f t="shared" si="121"/>
        <v>17178577.23</v>
      </c>
      <c r="D1586" s="18"/>
      <c r="E1586" s="18"/>
      <c r="F1586" s="18"/>
      <c r="G1586" s="18">
        <v>8970514.3300000001</v>
      </c>
      <c r="H1586" s="18">
        <v>5895688.1500000004</v>
      </c>
      <c r="I1586" s="18">
        <v>2312374.75</v>
      </c>
      <c r="J1586" s="18"/>
      <c r="K1586" s="18"/>
      <c r="L1586" s="10"/>
      <c r="M1586" s="18"/>
      <c r="N1586" s="10"/>
      <c r="O1586" s="18"/>
      <c r="P1586" s="18"/>
      <c r="Q1586" s="18"/>
      <c r="R1586" s="18"/>
      <c r="S1586" s="18"/>
    </row>
    <row r="1587" spans="1:19" x14ac:dyDescent="0.25">
      <c r="A1587" s="9" t="s">
        <v>164</v>
      </c>
      <c r="B1587" s="17" t="s">
        <v>320</v>
      </c>
      <c r="C1587" s="18">
        <f t="shared" si="121"/>
        <v>7483751.4000000004</v>
      </c>
      <c r="D1587" s="18"/>
      <c r="E1587" s="18"/>
      <c r="F1587" s="18"/>
      <c r="G1587" s="18"/>
      <c r="H1587" s="18"/>
      <c r="I1587" s="18"/>
      <c r="J1587" s="18"/>
      <c r="K1587" s="18"/>
      <c r="L1587" s="10"/>
      <c r="M1587" s="18"/>
      <c r="N1587" s="10"/>
      <c r="O1587" s="18"/>
      <c r="P1587" s="20">
        <v>7483751.4000000004</v>
      </c>
      <c r="Q1587" s="18"/>
      <c r="R1587" s="18"/>
      <c r="S1587" s="18"/>
    </row>
    <row r="1588" spans="1:19" x14ac:dyDescent="0.25">
      <c r="A1588" s="9" t="s">
        <v>168</v>
      </c>
      <c r="B1588" s="17" t="s">
        <v>2068</v>
      </c>
      <c r="C1588" s="18">
        <f t="shared" si="121"/>
        <v>1600000</v>
      </c>
      <c r="D1588" s="18"/>
      <c r="E1588" s="18"/>
      <c r="F1588" s="18"/>
      <c r="G1588" s="18"/>
      <c r="H1588" s="18"/>
      <c r="I1588" s="18"/>
      <c r="J1588" s="18"/>
      <c r="K1588" s="18"/>
      <c r="L1588" s="10"/>
      <c r="M1588" s="18"/>
      <c r="N1588" s="10"/>
      <c r="O1588" s="18">
        <v>1600000</v>
      </c>
      <c r="P1588" s="18"/>
      <c r="Q1588" s="18"/>
      <c r="R1588" s="18"/>
      <c r="S1588" s="18"/>
    </row>
    <row r="1589" spans="1:19" x14ac:dyDescent="0.25">
      <c r="A1589" s="9" t="s">
        <v>170</v>
      </c>
      <c r="B1589" s="17" t="s">
        <v>326</v>
      </c>
      <c r="C1589" s="18">
        <f t="shared" si="121"/>
        <v>1528985.88</v>
      </c>
      <c r="D1589" s="18"/>
      <c r="E1589" s="18"/>
      <c r="F1589" s="51">
        <v>1528985.88</v>
      </c>
      <c r="G1589" s="18"/>
      <c r="H1589" s="18"/>
      <c r="I1589" s="18"/>
      <c r="J1589" s="18"/>
      <c r="K1589" s="18"/>
      <c r="L1589" s="10"/>
      <c r="M1589" s="18"/>
      <c r="N1589" s="10"/>
      <c r="O1589" s="18"/>
      <c r="P1589" s="18"/>
      <c r="Q1589" s="18"/>
      <c r="R1589" s="18"/>
      <c r="S1589" s="18"/>
    </row>
    <row r="1590" spans="1:19" x14ac:dyDescent="0.25">
      <c r="A1590" s="9" t="s">
        <v>172</v>
      </c>
      <c r="B1590" s="17" t="s">
        <v>330</v>
      </c>
      <c r="C1590" s="18">
        <f t="shared" si="121"/>
        <v>5403687.7800000003</v>
      </c>
      <c r="D1590" s="18"/>
      <c r="E1590" s="18"/>
      <c r="F1590" s="18"/>
      <c r="G1590" s="18"/>
      <c r="H1590" s="18"/>
      <c r="I1590" s="18"/>
      <c r="J1590" s="18"/>
      <c r="K1590" s="18"/>
      <c r="L1590" s="10"/>
      <c r="M1590" s="18"/>
      <c r="N1590" s="10"/>
      <c r="O1590" s="18"/>
      <c r="P1590" s="18"/>
      <c r="Q1590" s="20">
        <v>5403687.7800000003</v>
      </c>
      <c r="R1590" s="18"/>
      <c r="S1590" s="18"/>
    </row>
    <row r="1591" spans="1:19" x14ac:dyDescent="0.25">
      <c r="A1591" s="9" t="s">
        <v>174</v>
      </c>
      <c r="B1591" s="17" t="s">
        <v>344</v>
      </c>
      <c r="C1591" s="18">
        <f t="shared" si="121"/>
        <v>32900630.210000001</v>
      </c>
      <c r="D1591" s="18"/>
      <c r="E1591" s="18"/>
      <c r="F1591" s="20">
        <v>4705874.58</v>
      </c>
      <c r="G1591" s="18">
        <v>6936376.0899999999</v>
      </c>
      <c r="H1591" s="18">
        <v>4558792.1500000004</v>
      </c>
      <c r="I1591" s="18">
        <v>1788024.67</v>
      </c>
      <c r="J1591" s="18">
        <v>2605896.73</v>
      </c>
      <c r="K1591" s="18"/>
      <c r="L1591" s="10"/>
      <c r="M1591" s="18"/>
      <c r="N1591" s="10"/>
      <c r="O1591" s="18"/>
      <c r="P1591" s="18"/>
      <c r="Q1591" s="18">
        <v>12305665.99</v>
      </c>
      <c r="R1591" s="18"/>
      <c r="S1591" s="18"/>
    </row>
    <row r="1592" spans="1:19" x14ac:dyDescent="0.25">
      <c r="A1592" s="9" t="s">
        <v>176</v>
      </c>
      <c r="B1592" s="17" t="s">
        <v>346</v>
      </c>
      <c r="C1592" s="18">
        <f t="shared" si="121"/>
        <v>20115529.329999998</v>
      </c>
      <c r="D1592" s="18"/>
      <c r="E1592" s="18"/>
      <c r="F1592" s="51"/>
      <c r="G1592" s="18"/>
      <c r="H1592" s="51">
        <v>2099592</v>
      </c>
      <c r="I1592" s="51">
        <v>882104.94</v>
      </c>
      <c r="J1592" s="51">
        <v>1449613.31</v>
      </c>
      <c r="K1592" s="18"/>
      <c r="L1592" s="10"/>
      <c r="M1592" s="18"/>
      <c r="N1592" s="10" t="s">
        <v>552</v>
      </c>
      <c r="O1592" s="20">
        <v>7512613.9199999999</v>
      </c>
      <c r="P1592" s="18"/>
      <c r="Q1592" s="20">
        <v>8171605.1600000001</v>
      </c>
      <c r="R1592" s="18"/>
      <c r="S1592" s="18"/>
    </row>
    <row r="1593" spans="1:19" x14ac:dyDescent="0.25">
      <c r="A1593" s="9" t="s">
        <v>178</v>
      </c>
      <c r="B1593" s="17" t="s">
        <v>1949</v>
      </c>
      <c r="C1593" s="18">
        <f t="shared" si="121"/>
        <v>9179321.8000000007</v>
      </c>
      <c r="D1593" s="18">
        <f>ROUNDUP(SUM(F1593+G1593+H1593+I1593+J1593+K1593+M1593+O1593+P1593+Q1593+R1593+S1593)*0.0214,2)</f>
        <v>192321.8</v>
      </c>
      <c r="E1593" s="18"/>
      <c r="F1593" s="18"/>
      <c r="G1593" s="18">
        <v>8987000</v>
      </c>
      <c r="H1593" s="18"/>
      <c r="I1593" s="18"/>
      <c r="J1593" s="18"/>
      <c r="K1593" s="18"/>
      <c r="L1593" s="10"/>
      <c r="M1593" s="18"/>
      <c r="N1593" s="10"/>
      <c r="O1593" s="18"/>
      <c r="P1593" s="18"/>
      <c r="Q1593" s="18"/>
      <c r="R1593" s="18"/>
      <c r="S1593" s="18"/>
    </row>
    <row r="1594" spans="1:19" x14ac:dyDescent="0.25">
      <c r="A1594" s="9" t="s">
        <v>180</v>
      </c>
      <c r="B1594" s="17" t="s">
        <v>1950</v>
      </c>
      <c r="C1594" s="18">
        <f t="shared" si="121"/>
        <v>8810866.1799999997</v>
      </c>
      <c r="D1594" s="20">
        <v>85018.6</v>
      </c>
      <c r="E1594" s="20">
        <v>150469.39000000001</v>
      </c>
      <c r="F1594" s="18"/>
      <c r="G1594" s="18"/>
      <c r="H1594" s="18"/>
      <c r="I1594" s="18"/>
      <c r="J1594" s="18"/>
      <c r="K1594" s="18"/>
      <c r="L1594" s="10">
        <v>2</v>
      </c>
      <c r="M1594" s="20">
        <v>8575378.1899999995</v>
      </c>
      <c r="N1594" s="10"/>
      <c r="O1594" s="18"/>
      <c r="P1594" s="18"/>
      <c r="Q1594" s="18"/>
      <c r="R1594" s="18"/>
      <c r="S1594" s="18"/>
    </row>
    <row r="1595" spans="1:19" x14ac:dyDescent="0.25">
      <c r="A1595" s="9" t="s">
        <v>182</v>
      </c>
      <c r="B1595" s="17" t="s">
        <v>1951</v>
      </c>
      <c r="C1595" s="18">
        <f t="shared" si="121"/>
        <v>13180827.279999999</v>
      </c>
      <c r="D1595" s="20">
        <v>127540.6</v>
      </c>
      <c r="E1595" s="20">
        <v>190219.4</v>
      </c>
      <c r="F1595" s="18"/>
      <c r="G1595" s="18"/>
      <c r="H1595" s="18"/>
      <c r="I1595" s="18"/>
      <c r="J1595" s="18"/>
      <c r="K1595" s="18"/>
      <c r="L1595" s="10">
        <v>3</v>
      </c>
      <c r="M1595" s="20">
        <v>12863067.279999999</v>
      </c>
      <c r="N1595" s="10"/>
      <c r="O1595" s="18"/>
      <c r="P1595" s="18"/>
      <c r="Q1595" s="18"/>
      <c r="R1595" s="18"/>
      <c r="S1595" s="18"/>
    </row>
    <row r="1596" spans="1:19" x14ac:dyDescent="0.25">
      <c r="A1596" s="9" t="s">
        <v>184</v>
      </c>
      <c r="B1596" s="17" t="s">
        <v>361</v>
      </c>
      <c r="C1596" s="18">
        <f t="shared" si="121"/>
        <v>9553021.1400000006</v>
      </c>
      <c r="D1596" s="18"/>
      <c r="E1596" s="18"/>
      <c r="F1596" s="18">
        <v>4737806.87</v>
      </c>
      <c r="G1596" s="18"/>
      <c r="H1596" s="18"/>
      <c r="I1596" s="18"/>
      <c r="J1596" s="18"/>
      <c r="K1596" s="18"/>
      <c r="L1596" s="10"/>
      <c r="M1596" s="18"/>
      <c r="N1596" s="10"/>
      <c r="O1596" s="18"/>
      <c r="P1596" s="18">
        <v>4815214.2699999996</v>
      </c>
      <c r="Q1596" s="18"/>
      <c r="R1596" s="18"/>
      <c r="S1596" s="18"/>
    </row>
    <row r="1597" spans="1:19" x14ac:dyDescent="0.25">
      <c r="A1597" s="9" t="s">
        <v>186</v>
      </c>
      <c r="B1597" s="17" t="s">
        <v>371</v>
      </c>
      <c r="C1597" s="18">
        <f t="shared" si="121"/>
        <v>10180853.75</v>
      </c>
      <c r="D1597" s="18"/>
      <c r="E1597" s="18"/>
      <c r="F1597" s="18">
        <v>2335608.14</v>
      </c>
      <c r="G1597" s="18">
        <v>3424839.01</v>
      </c>
      <c r="H1597" s="18">
        <v>2250905.7999999998</v>
      </c>
      <c r="I1597" s="18">
        <v>882838.04</v>
      </c>
      <c r="J1597" s="18">
        <v>1286662.76</v>
      </c>
      <c r="K1597" s="18"/>
      <c r="L1597" s="10"/>
      <c r="M1597" s="18"/>
      <c r="N1597" s="10"/>
      <c r="O1597" s="18"/>
      <c r="P1597" s="18"/>
      <c r="Q1597" s="18"/>
      <c r="R1597" s="18"/>
      <c r="S1597" s="18"/>
    </row>
    <row r="1598" spans="1:19" x14ac:dyDescent="0.25">
      <c r="A1598" s="9" t="s">
        <v>188</v>
      </c>
      <c r="B1598" s="17" t="s">
        <v>373</v>
      </c>
      <c r="C1598" s="18">
        <f t="shared" si="121"/>
        <v>28188762.920000002</v>
      </c>
      <c r="D1598" s="18"/>
      <c r="E1598" s="18"/>
      <c r="F1598" s="18">
        <v>3980091.55</v>
      </c>
      <c r="G1598" s="18">
        <v>6262391.2199999997</v>
      </c>
      <c r="H1598" s="18">
        <v>4115829.3</v>
      </c>
      <c r="I1598" s="18">
        <v>1614288.19</v>
      </c>
      <c r="J1598" s="18">
        <v>2352690.31</v>
      </c>
      <c r="K1598" s="18"/>
      <c r="L1598" s="10"/>
      <c r="M1598" s="18"/>
      <c r="N1598" s="10" t="s">
        <v>552</v>
      </c>
      <c r="O1598" s="18">
        <v>9863472.3499999996</v>
      </c>
      <c r="P1598" s="18"/>
      <c r="Q1598" s="18"/>
      <c r="R1598" s="18"/>
      <c r="S1598" s="18"/>
    </row>
    <row r="1599" spans="1:19" x14ac:dyDescent="0.25">
      <c r="A1599" s="9" t="s">
        <v>190</v>
      </c>
      <c r="B1599" s="17" t="s">
        <v>375</v>
      </c>
      <c r="C1599" s="18">
        <f t="shared" si="121"/>
        <v>6457489.8799999999</v>
      </c>
      <c r="D1599" s="18"/>
      <c r="E1599" s="18"/>
      <c r="F1599" s="18"/>
      <c r="G1599" s="18"/>
      <c r="H1599" s="18">
        <v>4638286.4000000004</v>
      </c>
      <c r="I1599" s="18">
        <v>1819203.48</v>
      </c>
      <c r="J1599" s="18"/>
      <c r="K1599" s="18"/>
      <c r="L1599" s="10"/>
      <c r="M1599" s="18"/>
      <c r="N1599" s="10"/>
      <c r="O1599" s="18"/>
      <c r="P1599" s="18"/>
      <c r="Q1599" s="18"/>
      <c r="R1599" s="18"/>
      <c r="S1599" s="18"/>
    </row>
    <row r="1600" spans="1:19" x14ac:dyDescent="0.25">
      <c r="A1600" s="9" t="s">
        <v>192</v>
      </c>
      <c r="B1600" s="17" t="s">
        <v>377</v>
      </c>
      <c r="C1600" s="18">
        <f t="shared" si="121"/>
        <v>1755396.47</v>
      </c>
      <c r="D1600" s="18"/>
      <c r="E1600" s="18"/>
      <c r="F1600" s="18"/>
      <c r="G1600" s="18"/>
      <c r="H1600" s="18"/>
      <c r="I1600" s="18"/>
      <c r="J1600" s="18">
        <v>1755396.47</v>
      </c>
      <c r="K1600" s="18"/>
      <c r="L1600" s="10"/>
      <c r="M1600" s="18"/>
      <c r="N1600" s="10"/>
      <c r="O1600" s="18"/>
      <c r="P1600" s="18"/>
      <c r="Q1600" s="18"/>
      <c r="R1600" s="18"/>
      <c r="S1600" s="18"/>
    </row>
    <row r="1601" spans="1:19" x14ac:dyDescent="0.25">
      <c r="A1601" s="9" t="s">
        <v>194</v>
      </c>
      <c r="B1601" s="17" t="s">
        <v>1952</v>
      </c>
      <c r="C1601" s="18">
        <f t="shared" si="121"/>
        <v>744505.35</v>
      </c>
      <c r="D1601" s="18"/>
      <c r="E1601" s="18"/>
      <c r="F1601" s="18"/>
      <c r="G1601" s="18"/>
      <c r="H1601" s="18"/>
      <c r="I1601" s="18"/>
      <c r="J1601" s="18"/>
      <c r="K1601" s="18">
        <v>744505.35</v>
      </c>
      <c r="L1601" s="10"/>
      <c r="M1601" s="18"/>
      <c r="N1601" s="10"/>
      <c r="O1601" s="18"/>
      <c r="P1601" s="18"/>
      <c r="Q1601" s="18"/>
      <c r="R1601" s="18"/>
      <c r="S1601" s="18"/>
    </row>
    <row r="1602" spans="1:19" x14ac:dyDescent="0.25">
      <c r="A1602" s="9" t="s">
        <v>198</v>
      </c>
      <c r="B1602" s="17" t="s">
        <v>379</v>
      </c>
      <c r="C1602" s="18">
        <f t="shared" si="121"/>
        <v>14312307.390000001</v>
      </c>
      <c r="D1602" s="18"/>
      <c r="E1602" s="18"/>
      <c r="F1602" s="18"/>
      <c r="G1602" s="18"/>
      <c r="H1602" s="18">
        <v>3067317.55</v>
      </c>
      <c r="I1602" s="18">
        <v>1203046.6200000001</v>
      </c>
      <c r="J1602" s="18"/>
      <c r="K1602" s="18"/>
      <c r="L1602" s="10"/>
      <c r="M1602" s="18"/>
      <c r="N1602" s="10" t="s">
        <v>552</v>
      </c>
      <c r="O1602" s="18">
        <v>10041943.220000001</v>
      </c>
      <c r="P1602" s="18"/>
      <c r="Q1602" s="18"/>
      <c r="R1602" s="18"/>
      <c r="S1602" s="18"/>
    </row>
    <row r="1603" spans="1:19" x14ac:dyDescent="0.25">
      <c r="A1603" s="9" t="s">
        <v>200</v>
      </c>
      <c r="B1603" s="17" t="s">
        <v>381</v>
      </c>
      <c r="C1603" s="18">
        <f t="shared" si="121"/>
        <v>2901119.04</v>
      </c>
      <c r="D1603" s="18"/>
      <c r="E1603" s="18"/>
      <c r="F1603" s="18"/>
      <c r="G1603" s="18">
        <v>2901119.04</v>
      </c>
      <c r="H1603" s="18"/>
      <c r="I1603" s="18"/>
      <c r="J1603" s="18"/>
      <c r="K1603" s="18"/>
      <c r="L1603" s="10"/>
      <c r="M1603" s="18"/>
      <c r="N1603" s="10"/>
      <c r="O1603" s="18"/>
      <c r="P1603" s="18"/>
      <c r="Q1603" s="18"/>
      <c r="R1603" s="18"/>
      <c r="S1603" s="18"/>
    </row>
    <row r="1604" spans="1:19" x14ac:dyDescent="0.25">
      <c r="A1604" s="9" t="s">
        <v>202</v>
      </c>
      <c r="B1604" s="17" t="s">
        <v>389</v>
      </c>
      <c r="C1604" s="18">
        <f t="shared" si="121"/>
        <v>19817247.969999999</v>
      </c>
      <c r="D1604" s="18"/>
      <c r="E1604" s="18"/>
      <c r="F1604" s="18"/>
      <c r="G1604" s="18"/>
      <c r="H1604" s="18"/>
      <c r="I1604" s="18"/>
      <c r="J1604" s="18">
        <v>2296967.65</v>
      </c>
      <c r="K1604" s="18"/>
      <c r="L1604" s="10"/>
      <c r="M1604" s="18"/>
      <c r="N1604" s="10" t="s">
        <v>552</v>
      </c>
      <c r="O1604" s="18">
        <v>10892559.9</v>
      </c>
      <c r="P1604" s="18"/>
      <c r="Q1604" s="18">
        <v>6627720.4199999999</v>
      </c>
      <c r="R1604" s="18"/>
      <c r="S1604" s="18"/>
    </row>
    <row r="1605" spans="1:19" x14ac:dyDescent="0.25">
      <c r="A1605" s="9" t="s">
        <v>204</v>
      </c>
      <c r="B1605" s="17" t="s">
        <v>395</v>
      </c>
      <c r="C1605" s="18">
        <f t="shared" si="121"/>
        <v>18707219.34</v>
      </c>
      <c r="D1605" s="18"/>
      <c r="E1605" s="18"/>
      <c r="F1605" s="18">
        <v>4813187.91</v>
      </c>
      <c r="G1605" s="18"/>
      <c r="H1605" s="18">
        <v>4638634.55</v>
      </c>
      <c r="I1605" s="18">
        <v>1819340.03</v>
      </c>
      <c r="J1605" s="18">
        <v>2651536.25</v>
      </c>
      <c r="K1605" s="18"/>
      <c r="L1605" s="10"/>
      <c r="M1605" s="18"/>
      <c r="N1605" s="10"/>
      <c r="O1605" s="18"/>
      <c r="P1605" s="18">
        <v>4784520.5999999996</v>
      </c>
      <c r="Q1605" s="18"/>
      <c r="R1605" s="18"/>
      <c r="S1605" s="18"/>
    </row>
    <row r="1606" spans="1:19" x14ac:dyDescent="0.25">
      <c r="A1606" s="9" t="s">
        <v>206</v>
      </c>
      <c r="B1606" s="17" t="s">
        <v>397</v>
      </c>
      <c r="C1606" s="18">
        <f t="shared" si="121"/>
        <v>21506868.309999999</v>
      </c>
      <c r="D1606" s="18"/>
      <c r="E1606" s="18"/>
      <c r="F1606" s="18">
        <v>3135751.74</v>
      </c>
      <c r="G1606" s="18"/>
      <c r="H1606" s="18"/>
      <c r="I1606" s="18"/>
      <c r="J1606" s="18">
        <v>1727601.47</v>
      </c>
      <c r="K1606" s="18"/>
      <c r="L1606" s="10"/>
      <c r="M1606" s="18"/>
      <c r="N1606" s="10" t="s">
        <v>552</v>
      </c>
      <c r="O1606" s="18">
        <v>7166173.2000000002</v>
      </c>
      <c r="P1606" s="18"/>
      <c r="Q1606" s="18">
        <v>9477341.9000000004</v>
      </c>
      <c r="R1606" s="18"/>
      <c r="S1606" s="18"/>
    </row>
    <row r="1607" spans="1:19" x14ac:dyDescent="0.25">
      <c r="A1607" s="9" t="s">
        <v>208</v>
      </c>
      <c r="B1607" s="17" t="s">
        <v>401</v>
      </c>
      <c r="C1607" s="18">
        <f t="shared" si="121"/>
        <v>37252947.75</v>
      </c>
      <c r="D1607" s="18"/>
      <c r="E1607" s="18"/>
      <c r="F1607" s="18">
        <v>4628297.8899999997</v>
      </c>
      <c r="G1607" s="18"/>
      <c r="H1607" s="18">
        <v>4526182.0999999996</v>
      </c>
      <c r="I1607" s="18">
        <v>1775234.54</v>
      </c>
      <c r="J1607" s="18">
        <v>2587256.1799999997</v>
      </c>
      <c r="K1607" s="18"/>
      <c r="L1607" s="10"/>
      <c r="M1607" s="18"/>
      <c r="N1607" s="10" t="s">
        <v>552</v>
      </c>
      <c r="O1607" s="18">
        <v>10182864.550000001</v>
      </c>
      <c r="P1607" s="18"/>
      <c r="Q1607" s="18">
        <v>13553112.49</v>
      </c>
      <c r="R1607" s="18"/>
      <c r="S1607" s="18"/>
    </row>
    <row r="1608" spans="1:19" x14ac:dyDescent="0.25">
      <c r="A1608" s="9" t="s">
        <v>210</v>
      </c>
      <c r="B1608" s="17" t="s">
        <v>409</v>
      </c>
      <c r="C1608" s="18">
        <f t="shared" si="121"/>
        <v>7393944.5800000001</v>
      </c>
      <c r="D1608" s="18"/>
      <c r="E1608" s="18"/>
      <c r="F1608" s="18">
        <v>4767549.87</v>
      </c>
      <c r="G1608" s="18"/>
      <c r="H1608" s="18"/>
      <c r="I1608" s="18"/>
      <c r="J1608" s="18">
        <v>2626394.71</v>
      </c>
      <c r="K1608" s="18"/>
      <c r="L1608" s="10"/>
      <c r="M1608" s="18"/>
      <c r="N1608" s="10"/>
      <c r="O1608" s="18"/>
      <c r="P1608" s="18"/>
      <c r="Q1608" s="18"/>
      <c r="R1608" s="18"/>
      <c r="S1608" s="18"/>
    </row>
    <row r="1609" spans="1:19" x14ac:dyDescent="0.25">
      <c r="A1609" s="9" t="s">
        <v>212</v>
      </c>
      <c r="B1609" s="17" t="s">
        <v>423</v>
      </c>
      <c r="C1609" s="18">
        <f t="shared" si="121"/>
        <v>15227558.42</v>
      </c>
      <c r="D1609" s="18"/>
      <c r="E1609" s="18"/>
      <c r="F1609" s="18"/>
      <c r="G1609" s="18"/>
      <c r="H1609" s="18"/>
      <c r="I1609" s="18"/>
      <c r="J1609" s="18"/>
      <c r="K1609" s="18"/>
      <c r="L1609" s="10"/>
      <c r="M1609" s="18"/>
      <c r="N1609" s="10"/>
      <c r="O1609" s="18"/>
      <c r="P1609" s="18"/>
      <c r="Q1609" s="18">
        <v>15227558.42</v>
      </c>
      <c r="R1609" s="18"/>
      <c r="S1609" s="18"/>
    </row>
    <row r="1610" spans="1:19" x14ac:dyDescent="0.25">
      <c r="A1610" s="9" t="s">
        <v>214</v>
      </c>
      <c r="B1610" s="17" t="s">
        <v>431</v>
      </c>
      <c r="C1610" s="18">
        <f t="shared" si="121"/>
        <v>22381443.550000001</v>
      </c>
      <c r="D1610" s="18"/>
      <c r="E1610" s="18"/>
      <c r="F1610" s="18">
        <v>4216979.4400000004</v>
      </c>
      <c r="G1610" s="18"/>
      <c r="H1610" s="18">
        <v>4114784.85</v>
      </c>
      <c r="I1610" s="18">
        <v>1613878.55</v>
      </c>
      <c r="J1610" s="18">
        <v>2352093.2899999996</v>
      </c>
      <c r="K1610" s="18"/>
      <c r="L1610" s="10"/>
      <c r="M1610" s="18"/>
      <c r="N1610" s="10" t="s">
        <v>552</v>
      </c>
      <c r="O1610" s="18">
        <v>10083707.42</v>
      </c>
      <c r="P1610" s="18"/>
      <c r="Q1610" s="18"/>
      <c r="R1610" s="18"/>
      <c r="S1610" s="18"/>
    </row>
    <row r="1611" spans="1:19" x14ac:dyDescent="0.25">
      <c r="A1611" s="9" t="s">
        <v>216</v>
      </c>
      <c r="B1611" s="17" t="s">
        <v>445</v>
      </c>
      <c r="C1611" s="18">
        <f t="shared" si="121"/>
        <v>29260412.140000001</v>
      </c>
      <c r="D1611" s="18"/>
      <c r="E1611" s="18"/>
      <c r="F1611" s="18">
        <v>6158184.5300000003</v>
      </c>
      <c r="G1611" s="18"/>
      <c r="H1611" s="18">
        <v>5939090.8499999996</v>
      </c>
      <c r="I1611" s="18">
        <v>2329397.9299999997</v>
      </c>
      <c r="J1611" s="18">
        <v>3394903.07</v>
      </c>
      <c r="K1611" s="18"/>
      <c r="L1611" s="10"/>
      <c r="M1611" s="18"/>
      <c r="N1611" s="10" t="s">
        <v>552</v>
      </c>
      <c r="O1611" s="18">
        <v>11438835.76</v>
      </c>
      <c r="P1611" s="18"/>
      <c r="Q1611" s="18"/>
      <c r="R1611" s="18"/>
      <c r="S1611" s="18"/>
    </row>
    <row r="1612" spans="1:19" x14ac:dyDescent="0.25">
      <c r="A1612" s="9" t="s">
        <v>218</v>
      </c>
      <c r="B1612" s="17" t="s">
        <v>1953</v>
      </c>
      <c r="C1612" s="18">
        <f t="shared" si="121"/>
        <v>13455412.57</v>
      </c>
      <c r="D1612" s="18"/>
      <c r="E1612" s="18">
        <v>177691.02</v>
      </c>
      <c r="F1612" s="18"/>
      <c r="G1612" s="18"/>
      <c r="H1612" s="18"/>
      <c r="I1612" s="18"/>
      <c r="J1612" s="18"/>
      <c r="K1612" s="18"/>
      <c r="L1612" s="10"/>
      <c r="M1612" s="18"/>
      <c r="N1612" s="10" t="s">
        <v>552</v>
      </c>
      <c r="O1612" s="18">
        <v>13277721.550000001</v>
      </c>
      <c r="P1612" s="18"/>
      <c r="Q1612" s="18"/>
      <c r="R1612" s="18"/>
      <c r="S1612" s="18"/>
    </row>
    <row r="1613" spans="1:19" x14ac:dyDescent="0.25">
      <c r="A1613" s="9" t="s">
        <v>220</v>
      </c>
      <c r="B1613" s="17" t="s">
        <v>477</v>
      </c>
      <c r="C1613" s="18">
        <f t="shared" si="121"/>
        <v>48279964.399999999</v>
      </c>
      <c r="D1613" s="18"/>
      <c r="E1613" s="18"/>
      <c r="F1613" s="18"/>
      <c r="G1613" s="18">
        <v>11840909.4</v>
      </c>
      <c r="H1613" s="18">
        <v>7782196.9500000002</v>
      </c>
      <c r="I1613" s="18">
        <v>3052290.98</v>
      </c>
      <c r="J1613" s="18">
        <v>4448459.3600000003</v>
      </c>
      <c r="K1613" s="18"/>
      <c r="L1613" s="10"/>
      <c r="M1613" s="18"/>
      <c r="N1613" s="10" t="s">
        <v>552</v>
      </c>
      <c r="O1613" s="18">
        <v>21156107.710000001</v>
      </c>
      <c r="P1613" s="18"/>
      <c r="Q1613" s="18"/>
      <c r="R1613" s="18"/>
      <c r="S1613" s="18"/>
    </row>
    <row r="1614" spans="1:19" x14ac:dyDescent="0.25">
      <c r="A1614" s="9" t="s">
        <v>222</v>
      </c>
      <c r="B1614" s="17" t="s">
        <v>1909</v>
      </c>
      <c r="C1614" s="18">
        <f t="shared" si="121"/>
        <v>9568528.3200000003</v>
      </c>
      <c r="D1614" s="18"/>
      <c r="E1614" s="18"/>
      <c r="F1614" s="18"/>
      <c r="G1614" s="18"/>
      <c r="H1614" s="18"/>
      <c r="I1614" s="18"/>
      <c r="J1614" s="18"/>
      <c r="K1614" s="18"/>
      <c r="L1614" s="10"/>
      <c r="M1614" s="18"/>
      <c r="N1614" s="10" t="s">
        <v>552</v>
      </c>
      <c r="O1614" s="18">
        <v>9568528.3200000003</v>
      </c>
      <c r="P1614" s="18"/>
      <c r="Q1614" s="18"/>
      <c r="R1614" s="18"/>
      <c r="S1614" s="18"/>
    </row>
    <row r="1615" spans="1:19" x14ac:dyDescent="0.25">
      <c r="A1615" s="33"/>
      <c r="B1615" s="33" t="s">
        <v>1954</v>
      </c>
      <c r="C1615" s="18">
        <f>ROUND(D1615+E1615+F1615+G1615+H1615+I1615+J1615+K1615+M1615+O1615+P1615+Q1615+R1615+S1615,2)</f>
        <v>591460319.95000005</v>
      </c>
      <c r="D1615" s="18">
        <f t="shared" ref="D1615:M1615" si="122">SUM(D1576:D1614)</f>
        <v>404881</v>
      </c>
      <c r="E1615" s="18">
        <f t="shared" si="122"/>
        <v>518379.81000000006</v>
      </c>
      <c r="F1615" s="18">
        <f t="shared" si="122"/>
        <v>45008318.399999999</v>
      </c>
      <c r="G1615" s="18">
        <f t="shared" si="122"/>
        <v>72022121.620000005</v>
      </c>
      <c r="H1615" s="18">
        <f t="shared" si="122"/>
        <v>74398012.499999985</v>
      </c>
      <c r="I1615" s="18">
        <f t="shared" si="122"/>
        <v>29021745.890000001</v>
      </c>
      <c r="J1615" s="18">
        <f t="shared" si="122"/>
        <v>38316532.729999997</v>
      </c>
      <c r="K1615" s="18">
        <f t="shared" si="122"/>
        <v>744505.35</v>
      </c>
      <c r="L1615" s="10">
        <f t="shared" si="122"/>
        <v>5</v>
      </c>
      <c r="M1615" s="18">
        <f t="shared" si="122"/>
        <v>21438445.469999999</v>
      </c>
      <c r="N1615" s="18" t="s">
        <v>42</v>
      </c>
      <c r="O1615" s="18">
        <f>SUM(O1576:O1614)</f>
        <v>179923723.59</v>
      </c>
      <c r="P1615" s="18">
        <f>SUM(P1576:P1614)</f>
        <v>34087469.029999994</v>
      </c>
      <c r="Q1615" s="18">
        <f>SUM(Q1576:Q1614)</f>
        <v>95576184.560000002</v>
      </c>
      <c r="R1615" s="18">
        <f>SUM(R1576:R1614)</f>
        <v>0</v>
      </c>
      <c r="S1615" s="18">
        <f>SUM(S1576:S1614)</f>
        <v>0</v>
      </c>
    </row>
    <row r="1616" spans="1:19" x14ac:dyDescent="0.25">
      <c r="A1616" s="34"/>
      <c r="B1616" s="34" t="s">
        <v>480</v>
      </c>
      <c r="C1616" s="18"/>
      <c r="D1616" s="13"/>
      <c r="E1616" s="13"/>
      <c r="F1616" s="13"/>
      <c r="G1616" s="13"/>
      <c r="H1616" s="13"/>
      <c r="I1616" s="13"/>
      <c r="J1616" s="13"/>
      <c r="K1616" s="13"/>
      <c r="L1616" s="14"/>
      <c r="M1616" s="13"/>
      <c r="N1616" s="14"/>
      <c r="O1616" s="13"/>
      <c r="P1616" s="13"/>
      <c r="Q1616" s="13"/>
      <c r="R1616" s="13"/>
      <c r="S1616" s="13"/>
    </row>
    <row r="1617" spans="1:19" x14ac:dyDescent="0.25">
      <c r="A1617" s="9" t="s">
        <v>224</v>
      </c>
      <c r="B1617" s="17" t="s">
        <v>486</v>
      </c>
      <c r="C1617" s="18">
        <f t="shared" ref="C1617:C1623" si="123">ROUNDUP(SUM(D1617+E1617+F1617+G1617+H1617+I1617+J1617+K1617+M1617+O1617+P1617+Q1617+R1617+S1617),2)</f>
        <v>3082886.25</v>
      </c>
      <c r="D1617" s="18"/>
      <c r="E1617" s="18"/>
      <c r="F1617" s="18"/>
      <c r="G1617" s="18"/>
      <c r="H1617" s="18"/>
      <c r="I1617" s="18"/>
      <c r="J1617" s="18"/>
      <c r="K1617" s="18"/>
      <c r="L1617" s="10"/>
      <c r="M1617" s="18"/>
      <c r="N1617" s="10"/>
      <c r="O1617" s="18"/>
      <c r="P1617" s="18">
        <v>3082886.25</v>
      </c>
      <c r="Q1617" s="18"/>
      <c r="R1617" s="18"/>
      <c r="S1617" s="18"/>
    </row>
    <row r="1618" spans="1:19" x14ac:dyDescent="0.25">
      <c r="A1618" s="9" t="s">
        <v>226</v>
      </c>
      <c r="B1618" s="17" t="s">
        <v>492</v>
      </c>
      <c r="C1618" s="18">
        <f t="shared" si="123"/>
        <v>1165783.95</v>
      </c>
      <c r="D1618" s="18"/>
      <c r="E1618" s="18"/>
      <c r="F1618" s="18"/>
      <c r="G1618" s="18"/>
      <c r="H1618" s="18"/>
      <c r="I1618" s="18"/>
      <c r="J1618" s="18"/>
      <c r="K1618" s="18"/>
      <c r="L1618" s="10"/>
      <c r="M1618" s="18"/>
      <c r="N1618" s="10"/>
      <c r="O1618" s="18"/>
      <c r="P1618" s="18">
        <v>1165783.95</v>
      </c>
      <c r="Q1618" s="18"/>
      <c r="R1618" s="18"/>
      <c r="S1618" s="18"/>
    </row>
    <row r="1619" spans="1:19" x14ac:dyDescent="0.25">
      <c r="A1619" s="9" t="s">
        <v>228</v>
      </c>
      <c r="B1619" s="17" t="s">
        <v>494</v>
      </c>
      <c r="C1619" s="18">
        <f t="shared" si="123"/>
        <v>1220645.5900000001</v>
      </c>
      <c r="D1619" s="18"/>
      <c r="E1619" s="18"/>
      <c r="F1619" s="18"/>
      <c r="G1619" s="18">
        <v>1220645.5900000001</v>
      </c>
      <c r="H1619" s="18"/>
      <c r="I1619" s="18"/>
      <c r="J1619" s="18"/>
      <c r="K1619" s="18"/>
      <c r="L1619" s="10"/>
      <c r="M1619" s="18"/>
      <c r="N1619" s="10"/>
      <c r="O1619" s="18"/>
      <c r="P1619" s="18"/>
      <c r="Q1619" s="18"/>
      <c r="R1619" s="18"/>
      <c r="S1619" s="18"/>
    </row>
    <row r="1620" spans="1:19" x14ac:dyDescent="0.25">
      <c r="A1620" s="9" t="s">
        <v>230</v>
      </c>
      <c r="B1620" s="17" t="s">
        <v>496</v>
      </c>
      <c r="C1620" s="18">
        <f t="shared" si="123"/>
        <v>7481873.2400000002</v>
      </c>
      <c r="D1620" s="18"/>
      <c r="E1620" s="18"/>
      <c r="F1620" s="18"/>
      <c r="G1620" s="18">
        <v>2683936.84</v>
      </c>
      <c r="H1620" s="18">
        <v>1144210.92</v>
      </c>
      <c r="I1620" s="18">
        <v>533413.42000000004</v>
      </c>
      <c r="J1620" s="18"/>
      <c r="K1620" s="18"/>
      <c r="L1620" s="10"/>
      <c r="M1620" s="18"/>
      <c r="N1620" s="10"/>
      <c r="O1620" s="18"/>
      <c r="P1620" s="18">
        <v>3120312.06</v>
      </c>
      <c r="Q1620" s="18"/>
      <c r="R1620" s="18"/>
      <c r="S1620" s="18"/>
    </row>
    <row r="1621" spans="1:19" x14ac:dyDescent="0.25">
      <c r="A1621" s="9" t="s">
        <v>232</v>
      </c>
      <c r="B1621" s="17" t="s">
        <v>1955</v>
      </c>
      <c r="C1621" s="18">
        <f t="shared" si="123"/>
        <v>4365041.42</v>
      </c>
      <c r="D1621" s="18"/>
      <c r="E1621" s="18">
        <v>97623.93</v>
      </c>
      <c r="F1621" s="18"/>
      <c r="G1621" s="18">
        <v>4267417.49</v>
      </c>
      <c r="H1621" s="18"/>
      <c r="I1621" s="18"/>
      <c r="J1621" s="18"/>
      <c r="K1621" s="18"/>
      <c r="L1621" s="10"/>
      <c r="M1621" s="18"/>
      <c r="N1621" s="10"/>
      <c r="O1621" s="18"/>
      <c r="P1621" s="18"/>
      <c r="Q1621" s="18"/>
      <c r="R1621" s="18"/>
      <c r="S1621" s="18"/>
    </row>
    <row r="1622" spans="1:19" x14ac:dyDescent="0.25">
      <c r="A1622" s="9" t="s">
        <v>234</v>
      </c>
      <c r="B1622" s="17" t="s">
        <v>498</v>
      </c>
      <c r="C1622" s="18">
        <f t="shared" si="123"/>
        <v>4118386.77</v>
      </c>
      <c r="D1622" s="18"/>
      <c r="E1622" s="18"/>
      <c r="F1622" s="18"/>
      <c r="G1622" s="18"/>
      <c r="H1622" s="18">
        <v>663129.59999999998</v>
      </c>
      <c r="I1622" s="18">
        <v>264110.7</v>
      </c>
      <c r="J1622" s="18"/>
      <c r="K1622" s="18"/>
      <c r="L1622" s="10"/>
      <c r="M1622" s="18"/>
      <c r="N1622" s="10"/>
      <c r="O1622" s="18"/>
      <c r="P1622" s="18">
        <v>3191146.47</v>
      </c>
      <c r="Q1622" s="18"/>
      <c r="R1622" s="18"/>
      <c r="S1622" s="18"/>
    </row>
    <row r="1623" spans="1:19" x14ac:dyDescent="0.25">
      <c r="A1623" s="9" t="s">
        <v>236</v>
      </c>
      <c r="B1623" s="17" t="s">
        <v>500</v>
      </c>
      <c r="C1623" s="18">
        <f t="shared" si="123"/>
        <v>9510023.1699999999</v>
      </c>
      <c r="D1623" s="18"/>
      <c r="E1623" s="18"/>
      <c r="F1623" s="18"/>
      <c r="G1623" s="18">
        <v>4056532.12</v>
      </c>
      <c r="H1623" s="18"/>
      <c r="I1623" s="18"/>
      <c r="J1623" s="18"/>
      <c r="K1623" s="18"/>
      <c r="L1623" s="10"/>
      <c r="M1623" s="18"/>
      <c r="N1623" s="10"/>
      <c r="O1623" s="18"/>
      <c r="P1623" s="18">
        <v>5453491.0499999998</v>
      </c>
      <c r="Q1623" s="18"/>
      <c r="R1623" s="18"/>
      <c r="S1623" s="18"/>
    </row>
    <row r="1624" spans="1:19" ht="30" x14ac:dyDescent="0.25">
      <c r="A1624" s="33"/>
      <c r="B1624" s="33" t="s">
        <v>1956</v>
      </c>
      <c r="C1624" s="18">
        <f>ROUND(D1624+E1624+F1624+G1624+H1624+I1624+J1624+K1624+M1624+O1624+P1624+Q1624+R1624+S1624,2)</f>
        <v>30944640.390000001</v>
      </c>
      <c r="D1624" s="18">
        <f t="shared" ref="D1624:S1624" si="124">SUM(D1617:D1623)</f>
        <v>0</v>
      </c>
      <c r="E1624" s="18">
        <f t="shared" si="124"/>
        <v>97623.93</v>
      </c>
      <c r="F1624" s="18">
        <f t="shared" si="124"/>
        <v>0</v>
      </c>
      <c r="G1624" s="18">
        <f t="shared" si="124"/>
        <v>12228532.039999999</v>
      </c>
      <c r="H1624" s="18">
        <f t="shared" si="124"/>
        <v>1807340.52</v>
      </c>
      <c r="I1624" s="18">
        <f t="shared" si="124"/>
        <v>797524.12000000011</v>
      </c>
      <c r="J1624" s="18">
        <f t="shared" si="124"/>
        <v>0</v>
      </c>
      <c r="K1624" s="18">
        <f t="shared" si="124"/>
        <v>0</v>
      </c>
      <c r="L1624" s="10">
        <f t="shared" si="124"/>
        <v>0</v>
      </c>
      <c r="M1624" s="18">
        <f t="shared" si="124"/>
        <v>0</v>
      </c>
      <c r="N1624" s="18" t="s">
        <v>42</v>
      </c>
      <c r="O1624" s="18">
        <f t="shared" si="124"/>
        <v>0</v>
      </c>
      <c r="P1624" s="18">
        <f t="shared" si="124"/>
        <v>16013619.780000001</v>
      </c>
      <c r="Q1624" s="18">
        <f t="shared" si="124"/>
        <v>0</v>
      </c>
      <c r="R1624" s="18">
        <f t="shared" si="124"/>
        <v>0</v>
      </c>
      <c r="S1624" s="18">
        <f t="shared" si="124"/>
        <v>0</v>
      </c>
    </row>
    <row r="1625" spans="1:19" x14ac:dyDescent="0.25">
      <c r="A1625" s="34"/>
      <c r="B1625" s="34" t="s">
        <v>547</v>
      </c>
      <c r="C1625" s="18"/>
      <c r="D1625" s="13"/>
      <c r="E1625" s="13"/>
      <c r="F1625" s="13"/>
      <c r="G1625" s="13"/>
      <c r="H1625" s="13"/>
      <c r="I1625" s="13"/>
      <c r="J1625" s="13"/>
      <c r="K1625" s="13"/>
      <c r="L1625" s="14"/>
      <c r="M1625" s="13"/>
      <c r="N1625" s="13"/>
      <c r="O1625" s="13"/>
      <c r="P1625" s="13"/>
      <c r="Q1625" s="13"/>
      <c r="R1625" s="13"/>
      <c r="S1625" s="13"/>
    </row>
    <row r="1626" spans="1:19" x14ac:dyDescent="0.25">
      <c r="A1626" s="9" t="s">
        <v>237</v>
      </c>
      <c r="B1626" s="17" t="s">
        <v>549</v>
      </c>
      <c r="C1626" s="18">
        <f t="shared" ref="C1626:C1657" si="125">ROUNDUP(SUM(D1626+E1626+F1626+G1626+H1626+I1626+J1626+K1626+M1626+O1626+P1626+Q1626+R1626+S1626),2)</f>
        <v>29941909.719999999</v>
      </c>
      <c r="D1626" s="18"/>
      <c r="E1626" s="18"/>
      <c r="F1626" s="18"/>
      <c r="G1626" s="18">
        <v>5624973.7400000002</v>
      </c>
      <c r="H1626" s="18">
        <v>3449793.33</v>
      </c>
      <c r="I1626" s="18">
        <v>862505.95</v>
      </c>
      <c r="J1626" s="18">
        <v>1733263.8</v>
      </c>
      <c r="K1626" s="18"/>
      <c r="L1626" s="10"/>
      <c r="M1626" s="18"/>
      <c r="N1626" s="18" t="s">
        <v>552</v>
      </c>
      <c r="O1626" s="18">
        <v>5125550.93</v>
      </c>
      <c r="P1626" s="18"/>
      <c r="Q1626" s="18">
        <v>13145821.970000001</v>
      </c>
      <c r="R1626" s="18"/>
      <c r="S1626" s="18"/>
    </row>
    <row r="1627" spans="1:19" x14ac:dyDescent="0.25">
      <c r="A1627" s="9" t="s">
        <v>239</v>
      </c>
      <c r="B1627" s="17" t="s">
        <v>1957</v>
      </c>
      <c r="C1627" s="18">
        <f t="shared" si="125"/>
        <v>6988371.9100000001</v>
      </c>
      <c r="D1627" s="18">
        <f t="shared" ref="D1627" si="126">ROUNDUP(SUM(F1627+G1627+H1627+I1627+J1627+K1627+M1627+O1627+P1627+Q1627+R1627+S1627)*0.0214,2)</f>
        <v>137221.25</v>
      </c>
      <c r="E1627" s="18">
        <v>438943.16000000003</v>
      </c>
      <c r="F1627" s="18"/>
      <c r="G1627" s="18"/>
      <c r="H1627" s="18"/>
      <c r="I1627" s="18"/>
      <c r="J1627" s="18"/>
      <c r="K1627" s="18"/>
      <c r="L1627" s="10">
        <v>1</v>
      </c>
      <c r="M1627" s="18">
        <v>6412207.5</v>
      </c>
      <c r="N1627" s="18"/>
      <c r="O1627" s="18"/>
      <c r="P1627" s="18"/>
      <c r="Q1627" s="18"/>
      <c r="R1627" s="18"/>
      <c r="S1627" s="18"/>
    </row>
    <row r="1628" spans="1:19" x14ac:dyDescent="0.25">
      <c r="A1628" s="9" t="s">
        <v>241</v>
      </c>
      <c r="B1628" s="17" t="s">
        <v>1958</v>
      </c>
      <c r="C1628" s="18">
        <f t="shared" si="125"/>
        <v>33828227.759999998</v>
      </c>
      <c r="D1628" s="18">
        <v>697378.04</v>
      </c>
      <c r="E1628" s="18">
        <v>374718.28</v>
      </c>
      <c r="F1628" s="18"/>
      <c r="G1628" s="18"/>
      <c r="H1628" s="18"/>
      <c r="I1628" s="18"/>
      <c r="J1628" s="18"/>
      <c r="K1628" s="18"/>
      <c r="L1628" s="10">
        <v>6</v>
      </c>
      <c r="M1628" s="18">
        <v>32756131.439999998</v>
      </c>
      <c r="N1628" s="18"/>
      <c r="O1628" s="18"/>
      <c r="P1628" s="18"/>
      <c r="Q1628" s="18"/>
      <c r="R1628" s="18"/>
      <c r="S1628" s="18"/>
    </row>
    <row r="1629" spans="1:19" x14ac:dyDescent="0.25">
      <c r="A1629" s="9" t="s">
        <v>243</v>
      </c>
      <c r="B1629" s="17" t="s">
        <v>1959</v>
      </c>
      <c r="C1629" s="18">
        <f t="shared" si="125"/>
        <v>11870121.57</v>
      </c>
      <c r="D1629" s="18">
        <v>241978.55</v>
      </c>
      <c r="E1629" s="18">
        <v>262311.65999999997</v>
      </c>
      <c r="F1629" s="18"/>
      <c r="G1629" s="18"/>
      <c r="H1629" s="18"/>
      <c r="I1629" s="18"/>
      <c r="J1629" s="18"/>
      <c r="K1629" s="18"/>
      <c r="L1629" s="10">
        <v>2</v>
      </c>
      <c r="M1629" s="18">
        <v>11365831.359999999</v>
      </c>
      <c r="N1629" s="18"/>
      <c r="O1629" s="18"/>
      <c r="P1629" s="18"/>
      <c r="Q1629" s="18"/>
      <c r="R1629" s="18"/>
      <c r="S1629" s="18"/>
    </row>
    <row r="1630" spans="1:19" x14ac:dyDescent="0.25">
      <c r="A1630" s="9" t="s">
        <v>245</v>
      </c>
      <c r="B1630" s="17" t="s">
        <v>1960</v>
      </c>
      <c r="C1630" s="18">
        <f t="shared" si="125"/>
        <v>18793983.190000001</v>
      </c>
      <c r="D1630" s="18">
        <v>385210.5</v>
      </c>
      <c r="E1630" s="18">
        <v>315278.11</v>
      </c>
      <c r="F1630" s="18"/>
      <c r="G1630" s="18"/>
      <c r="H1630" s="18"/>
      <c r="I1630" s="18"/>
      <c r="J1630" s="18"/>
      <c r="K1630" s="18"/>
      <c r="L1630" s="10">
        <v>3</v>
      </c>
      <c r="M1630" s="18">
        <v>18093494.579999998</v>
      </c>
      <c r="N1630" s="18"/>
      <c r="O1630" s="18"/>
      <c r="P1630" s="18"/>
      <c r="Q1630" s="18"/>
      <c r="R1630" s="18"/>
      <c r="S1630" s="18"/>
    </row>
    <row r="1631" spans="1:19" x14ac:dyDescent="0.25">
      <c r="A1631" s="9" t="s">
        <v>247</v>
      </c>
      <c r="B1631" s="17" t="s">
        <v>1961</v>
      </c>
      <c r="C1631" s="18">
        <f t="shared" si="125"/>
        <v>33767611.009999998</v>
      </c>
      <c r="D1631" s="18">
        <v>697378.04</v>
      </c>
      <c r="E1631" s="18">
        <v>314101.53000000003</v>
      </c>
      <c r="F1631" s="18"/>
      <c r="G1631" s="18"/>
      <c r="H1631" s="18"/>
      <c r="I1631" s="18"/>
      <c r="J1631" s="18"/>
      <c r="K1631" s="18"/>
      <c r="L1631" s="10">
        <v>6</v>
      </c>
      <c r="M1631" s="18">
        <v>32756131.439999998</v>
      </c>
      <c r="N1631" s="18"/>
      <c r="O1631" s="18"/>
      <c r="P1631" s="18"/>
      <c r="Q1631" s="18"/>
      <c r="R1631" s="18"/>
      <c r="S1631" s="18"/>
    </row>
    <row r="1632" spans="1:19" x14ac:dyDescent="0.25">
      <c r="A1632" s="9" t="s">
        <v>249</v>
      </c>
      <c r="B1632" s="17" t="s">
        <v>1962</v>
      </c>
      <c r="C1632" s="18">
        <f t="shared" si="125"/>
        <v>33768968.880000003</v>
      </c>
      <c r="D1632" s="18">
        <v>697378.04</v>
      </c>
      <c r="E1632" s="18">
        <v>315459.40000000002</v>
      </c>
      <c r="F1632" s="18"/>
      <c r="G1632" s="18"/>
      <c r="H1632" s="18"/>
      <c r="I1632" s="18"/>
      <c r="J1632" s="18"/>
      <c r="K1632" s="18"/>
      <c r="L1632" s="10">
        <v>3</v>
      </c>
      <c r="M1632" s="18">
        <v>32756131.440000001</v>
      </c>
      <c r="N1632" s="18"/>
      <c r="O1632" s="18"/>
      <c r="P1632" s="18"/>
      <c r="Q1632" s="18"/>
      <c r="R1632" s="18"/>
      <c r="S1632" s="18"/>
    </row>
    <row r="1633" spans="1:19" x14ac:dyDescent="0.25">
      <c r="A1633" s="9" t="s">
        <v>251</v>
      </c>
      <c r="B1633" s="17" t="s">
        <v>1963</v>
      </c>
      <c r="C1633" s="18">
        <f t="shared" si="125"/>
        <v>33768477.829999998</v>
      </c>
      <c r="D1633" s="18">
        <v>697378.04</v>
      </c>
      <c r="E1633" s="18">
        <v>314968.34999999998</v>
      </c>
      <c r="F1633" s="18"/>
      <c r="G1633" s="18"/>
      <c r="H1633" s="18"/>
      <c r="I1633" s="18"/>
      <c r="J1633" s="18"/>
      <c r="K1633" s="18"/>
      <c r="L1633" s="10">
        <v>6</v>
      </c>
      <c r="M1633" s="18">
        <v>32756131.439999998</v>
      </c>
      <c r="N1633" s="18"/>
      <c r="O1633" s="18"/>
      <c r="P1633" s="18"/>
      <c r="Q1633" s="18"/>
      <c r="R1633" s="18"/>
      <c r="S1633" s="18"/>
    </row>
    <row r="1634" spans="1:19" x14ac:dyDescent="0.25">
      <c r="A1634" s="9" t="s">
        <v>253</v>
      </c>
      <c r="B1634" s="17" t="s">
        <v>1964</v>
      </c>
      <c r="C1634" s="18">
        <f t="shared" si="125"/>
        <v>23207161.140000001</v>
      </c>
      <c r="D1634" s="18">
        <v>475320.44</v>
      </c>
      <c r="E1634" s="18">
        <v>289893.53999999998</v>
      </c>
      <c r="F1634" s="18"/>
      <c r="G1634" s="18"/>
      <c r="H1634" s="18"/>
      <c r="I1634" s="18"/>
      <c r="J1634" s="18"/>
      <c r="K1634" s="18"/>
      <c r="L1634" s="10">
        <v>6</v>
      </c>
      <c r="M1634" s="18">
        <v>22441947.16</v>
      </c>
      <c r="N1634" s="18"/>
      <c r="O1634" s="18"/>
      <c r="P1634" s="18"/>
      <c r="Q1634" s="18"/>
      <c r="R1634" s="18"/>
      <c r="S1634" s="18"/>
    </row>
    <row r="1635" spans="1:19" x14ac:dyDescent="0.25">
      <c r="A1635" s="9" t="s">
        <v>255</v>
      </c>
      <c r="B1635" s="17" t="s">
        <v>562</v>
      </c>
      <c r="C1635" s="18">
        <f t="shared" si="125"/>
        <v>4565058.62</v>
      </c>
      <c r="D1635" s="18"/>
      <c r="E1635" s="18"/>
      <c r="F1635" s="18"/>
      <c r="G1635" s="18"/>
      <c r="H1635" s="18"/>
      <c r="I1635" s="18"/>
      <c r="J1635" s="18"/>
      <c r="K1635" s="18"/>
      <c r="L1635" s="10"/>
      <c r="M1635" s="18"/>
      <c r="N1635" s="18" t="s">
        <v>552</v>
      </c>
      <c r="O1635" s="18">
        <v>4565058.62</v>
      </c>
      <c r="P1635" s="18"/>
      <c r="Q1635" s="18"/>
      <c r="R1635" s="18"/>
      <c r="S1635" s="18"/>
    </row>
    <row r="1636" spans="1:19" ht="15" customHeight="1" x14ac:dyDescent="0.25">
      <c r="A1636" s="9" t="s">
        <v>259</v>
      </c>
      <c r="B1636" s="17" t="s">
        <v>1965</v>
      </c>
      <c r="C1636" s="18">
        <f t="shared" si="125"/>
        <v>23219472.960000001</v>
      </c>
      <c r="D1636" s="18">
        <v>475320.44</v>
      </c>
      <c r="E1636" s="18">
        <v>302205.36</v>
      </c>
      <c r="F1636" s="18"/>
      <c r="G1636" s="18"/>
      <c r="H1636" s="18"/>
      <c r="I1636" s="18"/>
      <c r="J1636" s="18"/>
      <c r="K1636" s="18"/>
      <c r="L1636" s="10">
        <v>6</v>
      </c>
      <c r="M1636" s="18">
        <v>22441947.16</v>
      </c>
      <c r="N1636" s="18"/>
      <c r="O1636" s="18"/>
      <c r="P1636" s="18"/>
      <c r="Q1636" s="18"/>
      <c r="R1636" s="18"/>
      <c r="S1636" s="18"/>
    </row>
    <row r="1637" spans="1:19" x14ac:dyDescent="0.25">
      <c r="A1637" s="9" t="s">
        <v>261</v>
      </c>
      <c r="B1637" s="17" t="s">
        <v>1966</v>
      </c>
      <c r="C1637" s="18">
        <f t="shared" si="125"/>
        <v>11918090.25</v>
      </c>
      <c r="D1637" s="18">
        <v>241978.55</v>
      </c>
      <c r="E1637" s="18">
        <v>310280.34000000003</v>
      </c>
      <c r="F1637" s="18"/>
      <c r="G1637" s="18"/>
      <c r="H1637" s="18"/>
      <c r="I1637" s="18"/>
      <c r="J1637" s="18"/>
      <c r="K1637" s="18"/>
      <c r="L1637" s="10">
        <v>2</v>
      </c>
      <c r="M1637" s="18">
        <v>11365831.359999999</v>
      </c>
      <c r="N1637" s="18"/>
      <c r="O1637" s="18"/>
      <c r="P1637" s="18"/>
      <c r="Q1637" s="18"/>
      <c r="R1637" s="18"/>
      <c r="S1637" s="18"/>
    </row>
    <row r="1638" spans="1:19" x14ac:dyDescent="0.25">
      <c r="A1638" s="9" t="s">
        <v>263</v>
      </c>
      <c r="B1638" s="17" t="s">
        <v>1967</v>
      </c>
      <c r="C1638" s="18">
        <f t="shared" si="125"/>
        <v>23219144.199999999</v>
      </c>
      <c r="D1638" s="18">
        <v>475320.44</v>
      </c>
      <c r="E1638" s="18">
        <v>301876.59999999998</v>
      </c>
      <c r="F1638" s="18"/>
      <c r="G1638" s="18"/>
      <c r="H1638" s="18"/>
      <c r="I1638" s="18"/>
      <c r="J1638" s="18"/>
      <c r="K1638" s="18"/>
      <c r="L1638" s="10">
        <v>6</v>
      </c>
      <c r="M1638" s="18">
        <v>22441947.16</v>
      </c>
      <c r="N1638" s="18"/>
      <c r="O1638" s="18"/>
      <c r="P1638" s="18"/>
      <c r="Q1638" s="18"/>
      <c r="R1638" s="18"/>
      <c r="S1638" s="18"/>
    </row>
    <row r="1639" spans="1:19" x14ac:dyDescent="0.25">
      <c r="A1639" s="9" t="s">
        <v>265</v>
      </c>
      <c r="B1639" s="17" t="s">
        <v>1968</v>
      </c>
      <c r="C1639" s="18">
        <f t="shared" si="125"/>
        <v>18794522.210000001</v>
      </c>
      <c r="D1639" s="18">
        <v>385210.5</v>
      </c>
      <c r="E1639" s="18">
        <v>315817.13</v>
      </c>
      <c r="F1639" s="18"/>
      <c r="G1639" s="18"/>
      <c r="H1639" s="18"/>
      <c r="I1639" s="18"/>
      <c r="J1639" s="18"/>
      <c r="K1639" s="18"/>
      <c r="L1639" s="10">
        <v>3</v>
      </c>
      <c r="M1639" s="18">
        <v>18093494.579999998</v>
      </c>
      <c r="N1639" s="18"/>
      <c r="O1639" s="18"/>
      <c r="P1639" s="18"/>
      <c r="Q1639" s="18"/>
      <c r="R1639" s="18"/>
      <c r="S1639" s="18"/>
    </row>
    <row r="1640" spans="1:19" x14ac:dyDescent="0.25">
      <c r="A1640" s="9" t="s">
        <v>267</v>
      </c>
      <c r="B1640" s="17" t="s">
        <v>1969</v>
      </c>
      <c r="C1640" s="18">
        <f t="shared" si="125"/>
        <v>12737169.890000001</v>
      </c>
      <c r="D1640" s="18">
        <v>259489.84</v>
      </c>
      <c r="E1640" s="18">
        <v>289336.13</v>
      </c>
      <c r="F1640" s="18"/>
      <c r="G1640" s="18"/>
      <c r="H1640" s="18"/>
      <c r="I1640" s="18"/>
      <c r="J1640" s="18"/>
      <c r="K1640" s="18"/>
      <c r="L1640" s="10">
        <v>2</v>
      </c>
      <c r="M1640" s="18">
        <v>12188343.92</v>
      </c>
      <c r="N1640" s="18"/>
      <c r="O1640" s="18"/>
      <c r="P1640" s="18"/>
      <c r="Q1640" s="18"/>
      <c r="R1640" s="18"/>
      <c r="S1640" s="18"/>
    </row>
    <row r="1641" spans="1:19" x14ac:dyDescent="0.25">
      <c r="A1641" s="9" t="s">
        <v>269</v>
      </c>
      <c r="B1641" s="17" t="s">
        <v>1970</v>
      </c>
      <c r="C1641" s="18">
        <f t="shared" si="125"/>
        <v>17324853.370000001</v>
      </c>
      <c r="D1641" s="18">
        <v>354572.61</v>
      </c>
      <c r="E1641" s="18">
        <v>315860.55</v>
      </c>
      <c r="F1641" s="18"/>
      <c r="G1641" s="18"/>
      <c r="H1641" s="18"/>
      <c r="I1641" s="18"/>
      <c r="J1641" s="18"/>
      <c r="K1641" s="18"/>
      <c r="L1641" s="10">
        <v>3</v>
      </c>
      <c r="M1641" s="18">
        <v>16654420.210000001</v>
      </c>
      <c r="N1641" s="18"/>
      <c r="O1641" s="18"/>
      <c r="P1641" s="18"/>
      <c r="Q1641" s="18"/>
      <c r="R1641" s="18"/>
      <c r="S1641" s="18"/>
    </row>
    <row r="1642" spans="1:19" x14ac:dyDescent="0.25">
      <c r="A1642" s="9" t="s">
        <v>271</v>
      </c>
      <c r="B1642" s="17" t="s">
        <v>1971</v>
      </c>
      <c r="C1642" s="18">
        <f t="shared" si="125"/>
        <v>17325151</v>
      </c>
      <c r="D1642" s="18">
        <v>354572.61</v>
      </c>
      <c r="E1642" s="18">
        <v>316158.18</v>
      </c>
      <c r="F1642" s="18"/>
      <c r="G1642" s="18"/>
      <c r="H1642" s="18"/>
      <c r="I1642" s="18"/>
      <c r="J1642" s="18"/>
      <c r="K1642" s="18"/>
      <c r="L1642" s="10">
        <v>3</v>
      </c>
      <c r="M1642" s="18">
        <v>16654420.210000001</v>
      </c>
      <c r="N1642" s="18"/>
      <c r="O1642" s="18"/>
      <c r="P1642" s="18"/>
      <c r="Q1642" s="18"/>
      <c r="R1642" s="18"/>
      <c r="S1642" s="18"/>
    </row>
    <row r="1643" spans="1:19" x14ac:dyDescent="0.25">
      <c r="A1643" s="9" t="s">
        <v>273</v>
      </c>
      <c r="B1643" s="17" t="s">
        <v>1972</v>
      </c>
      <c r="C1643" s="18">
        <f t="shared" si="125"/>
        <v>18853608.300000001</v>
      </c>
      <c r="D1643" s="18">
        <v>385210.5</v>
      </c>
      <c r="E1643" s="18">
        <v>374903.22</v>
      </c>
      <c r="F1643" s="18"/>
      <c r="G1643" s="18"/>
      <c r="H1643" s="18"/>
      <c r="I1643" s="18"/>
      <c r="J1643" s="18"/>
      <c r="K1643" s="18"/>
      <c r="L1643" s="10">
        <v>3</v>
      </c>
      <c r="M1643" s="18">
        <v>18093494.579999998</v>
      </c>
      <c r="N1643" s="18"/>
      <c r="O1643" s="18"/>
      <c r="P1643" s="18"/>
      <c r="Q1643" s="18"/>
      <c r="R1643" s="18"/>
      <c r="S1643" s="18"/>
    </row>
    <row r="1644" spans="1:19" x14ac:dyDescent="0.25">
      <c r="A1644" s="9" t="s">
        <v>275</v>
      </c>
      <c r="B1644" s="17" t="s">
        <v>1973</v>
      </c>
      <c r="C1644" s="18">
        <f t="shared" si="125"/>
        <v>17324878.43</v>
      </c>
      <c r="D1644" s="18">
        <v>354572.61</v>
      </c>
      <c r="E1644" s="18">
        <v>315885.61</v>
      </c>
      <c r="F1644" s="18"/>
      <c r="G1644" s="18"/>
      <c r="H1644" s="18"/>
      <c r="I1644" s="18"/>
      <c r="J1644" s="18"/>
      <c r="K1644" s="18"/>
      <c r="L1644" s="10">
        <v>3</v>
      </c>
      <c r="M1644" s="18">
        <v>16654420.210000001</v>
      </c>
      <c r="N1644" s="18"/>
      <c r="O1644" s="18"/>
      <c r="P1644" s="18"/>
      <c r="Q1644" s="18"/>
      <c r="R1644" s="18"/>
      <c r="S1644" s="18"/>
    </row>
    <row r="1645" spans="1:19" x14ac:dyDescent="0.25">
      <c r="A1645" s="9" t="s">
        <v>277</v>
      </c>
      <c r="B1645" s="17" t="s">
        <v>1974</v>
      </c>
      <c r="C1645" s="18">
        <f t="shared" si="125"/>
        <v>17325307.329999998</v>
      </c>
      <c r="D1645" s="18">
        <v>354572.61</v>
      </c>
      <c r="E1645" s="18">
        <v>316314.51</v>
      </c>
      <c r="F1645" s="18"/>
      <c r="G1645" s="18"/>
      <c r="H1645" s="18"/>
      <c r="I1645" s="18"/>
      <c r="J1645" s="18"/>
      <c r="K1645" s="18"/>
      <c r="L1645" s="10">
        <v>3</v>
      </c>
      <c r="M1645" s="18">
        <v>16654420.210000001</v>
      </c>
      <c r="N1645" s="18"/>
      <c r="O1645" s="18"/>
      <c r="P1645" s="18"/>
      <c r="Q1645" s="18"/>
      <c r="R1645" s="18"/>
      <c r="S1645" s="18"/>
    </row>
    <row r="1646" spans="1:19" x14ac:dyDescent="0.25">
      <c r="A1646" s="9" t="s">
        <v>279</v>
      </c>
      <c r="B1646" s="17" t="s">
        <v>1975</v>
      </c>
      <c r="C1646" s="18">
        <f t="shared" si="125"/>
        <v>17324171.609999999</v>
      </c>
      <c r="D1646" s="18">
        <v>354572.61</v>
      </c>
      <c r="E1646" s="18">
        <v>315178.78999999998</v>
      </c>
      <c r="F1646" s="18"/>
      <c r="G1646" s="18"/>
      <c r="H1646" s="18"/>
      <c r="I1646" s="18"/>
      <c r="J1646" s="18"/>
      <c r="K1646" s="18"/>
      <c r="L1646" s="10">
        <v>3</v>
      </c>
      <c r="M1646" s="18">
        <v>16654420.210000001</v>
      </c>
      <c r="N1646" s="18"/>
      <c r="O1646" s="18"/>
      <c r="P1646" s="18"/>
      <c r="Q1646" s="18"/>
      <c r="R1646" s="18"/>
      <c r="S1646" s="18"/>
    </row>
    <row r="1647" spans="1:19" x14ac:dyDescent="0.25">
      <c r="A1647" s="9" t="s">
        <v>281</v>
      </c>
      <c r="B1647" s="17" t="s">
        <v>1976</v>
      </c>
      <c r="C1647" s="18">
        <f t="shared" si="125"/>
        <v>12736579.710000001</v>
      </c>
      <c r="D1647" s="18">
        <v>259489.84</v>
      </c>
      <c r="E1647" s="18">
        <v>288745.95</v>
      </c>
      <c r="F1647" s="18"/>
      <c r="G1647" s="18"/>
      <c r="H1647" s="18"/>
      <c r="I1647" s="18"/>
      <c r="J1647" s="18"/>
      <c r="K1647" s="18"/>
      <c r="L1647" s="10">
        <v>2</v>
      </c>
      <c r="M1647" s="18">
        <v>12188343.92</v>
      </c>
      <c r="N1647" s="18"/>
      <c r="O1647" s="18"/>
      <c r="P1647" s="18"/>
      <c r="Q1647" s="18"/>
      <c r="R1647" s="18"/>
      <c r="S1647" s="18"/>
    </row>
    <row r="1648" spans="1:19" x14ac:dyDescent="0.25">
      <c r="A1648" s="9" t="s">
        <v>283</v>
      </c>
      <c r="B1648" s="17" t="s">
        <v>566</v>
      </c>
      <c r="C1648" s="18">
        <f t="shared" si="125"/>
        <v>6357831.4199999999</v>
      </c>
      <c r="D1648" s="18"/>
      <c r="E1648" s="18"/>
      <c r="F1648" s="18">
        <v>487543.99</v>
      </c>
      <c r="G1648" s="18"/>
      <c r="H1648" s="18"/>
      <c r="I1648" s="18"/>
      <c r="J1648" s="18"/>
      <c r="K1648" s="18"/>
      <c r="L1648" s="10"/>
      <c r="M1648" s="18"/>
      <c r="N1648" s="18" t="s">
        <v>883</v>
      </c>
      <c r="O1648" s="18">
        <v>5870287.4299999997</v>
      </c>
      <c r="P1648" s="18"/>
      <c r="Q1648" s="18"/>
      <c r="R1648" s="18"/>
      <c r="S1648" s="18"/>
    </row>
    <row r="1649" spans="1:19" x14ac:dyDescent="0.25">
      <c r="A1649" s="9" t="s">
        <v>285</v>
      </c>
      <c r="B1649" s="17" t="s">
        <v>568</v>
      </c>
      <c r="C1649" s="18">
        <f t="shared" si="125"/>
        <v>5853294.7400000002</v>
      </c>
      <c r="D1649" s="18"/>
      <c r="E1649" s="18"/>
      <c r="F1649" s="18"/>
      <c r="G1649" s="18"/>
      <c r="H1649" s="18"/>
      <c r="I1649" s="18"/>
      <c r="J1649" s="18"/>
      <c r="K1649" s="18"/>
      <c r="L1649" s="10"/>
      <c r="M1649" s="18"/>
      <c r="N1649" s="18" t="s">
        <v>883</v>
      </c>
      <c r="O1649" s="18">
        <v>5853294.7400000002</v>
      </c>
      <c r="P1649" s="18"/>
      <c r="Q1649" s="18"/>
      <c r="R1649" s="18"/>
      <c r="S1649" s="18"/>
    </row>
    <row r="1650" spans="1:19" x14ac:dyDescent="0.25">
      <c r="A1650" s="9" t="s">
        <v>289</v>
      </c>
      <c r="B1650" s="17" t="s">
        <v>570</v>
      </c>
      <c r="C1650" s="18">
        <f t="shared" si="125"/>
        <v>8621530.4299999997</v>
      </c>
      <c r="D1650" s="18"/>
      <c r="E1650" s="18"/>
      <c r="F1650" s="18">
        <v>915295.79</v>
      </c>
      <c r="G1650" s="18">
        <v>1370072.12</v>
      </c>
      <c r="H1650" s="18"/>
      <c r="I1650" s="18">
        <v>192162.14</v>
      </c>
      <c r="J1650" s="18">
        <v>513259.92</v>
      </c>
      <c r="K1650" s="18"/>
      <c r="L1650" s="10"/>
      <c r="M1650" s="18"/>
      <c r="N1650" s="18" t="s">
        <v>552</v>
      </c>
      <c r="O1650" s="18">
        <v>5630740.46</v>
      </c>
      <c r="P1650" s="18"/>
      <c r="Q1650" s="18"/>
      <c r="R1650" s="18"/>
      <c r="S1650" s="18"/>
    </row>
    <row r="1651" spans="1:19" ht="15" customHeight="1" x14ac:dyDescent="0.25">
      <c r="A1651" s="9" t="s">
        <v>291</v>
      </c>
      <c r="B1651" s="17" t="s">
        <v>572</v>
      </c>
      <c r="C1651" s="18">
        <f t="shared" si="125"/>
        <v>8629205.6199999992</v>
      </c>
      <c r="D1651" s="18"/>
      <c r="E1651" s="18"/>
      <c r="F1651" s="18">
        <v>918378.52</v>
      </c>
      <c r="G1651" s="18">
        <v>1372771.92</v>
      </c>
      <c r="H1651" s="18"/>
      <c r="I1651" s="18">
        <v>192162.14</v>
      </c>
      <c r="J1651" s="18">
        <v>514439.99</v>
      </c>
      <c r="K1651" s="18"/>
      <c r="L1651" s="10"/>
      <c r="M1651" s="18"/>
      <c r="N1651" s="18" t="s">
        <v>552</v>
      </c>
      <c r="O1651" s="18">
        <v>5631453.0499999998</v>
      </c>
      <c r="P1651" s="18"/>
      <c r="Q1651" s="18"/>
      <c r="R1651" s="18"/>
      <c r="S1651" s="18"/>
    </row>
    <row r="1652" spans="1:19" x14ac:dyDescent="0.25">
      <c r="A1652" s="9" t="s">
        <v>293</v>
      </c>
      <c r="B1652" s="17" t="s">
        <v>574</v>
      </c>
      <c r="C1652" s="18">
        <f t="shared" si="125"/>
        <v>3924687.7</v>
      </c>
      <c r="D1652" s="18"/>
      <c r="E1652" s="18"/>
      <c r="F1652" s="18">
        <v>3924687.7</v>
      </c>
      <c r="G1652" s="18"/>
      <c r="H1652" s="18"/>
      <c r="I1652" s="18"/>
      <c r="J1652" s="18"/>
      <c r="K1652" s="18"/>
      <c r="L1652" s="10"/>
      <c r="M1652" s="18"/>
      <c r="N1652" s="18"/>
      <c r="O1652" s="18"/>
      <c r="P1652" s="18"/>
      <c r="Q1652" s="18"/>
      <c r="R1652" s="18"/>
      <c r="S1652" s="18"/>
    </row>
    <row r="1653" spans="1:19" x14ac:dyDescent="0.25">
      <c r="A1653" s="9" t="s">
        <v>295</v>
      </c>
      <c r="B1653" s="17" t="s">
        <v>1910</v>
      </c>
      <c r="C1653" s="18">
        <f t="shared" si="125"/>
        <v>6873007.4199999999</v>
      </c>
      <c r="D1653" s="18"/>
      <c r="E1653" s="18"/>
      <c r="F1653" s="18"/>
      <c r="G1653" s="18"/>
      <c r="H1653" s="18">
        <v>4640017.03</v>
      </c>
      <c r="I1653" s="18">
        <v>2232990.39</v>
      </c>
      <c r="J1653" s="18"/>
      <c r="K1653" s="18"/>
      <c r="L1653" s="10"/>
      <c r="M1653" s="18"/>
      <c r="N1653" s="18"/>
      <c r="O1653" s="18"/>
      <c r="P1653" s="18"/>
      <c r="Q1653" s="18"/>
      <c r="R1653" s="18"/>
      <c r="S1653" s="18"/>
    </row>
    <row r="1654" spans="1:19" x14ac:dyDescent="0.25">
      <c r="A1654" s="9" t="s">
        <v>297</v>
      </c>
      <c r="B1654" s="17" t="s">
        <v>576</v>
      </c>
      <c r="C1654" s="18">
        <f t="shared" si="125"/>
        <v>10224428.48</v>
      </c>
      <c r="D1654" s="18"/>
      <c r="E1654" s="18"/>
      <c r="F1654" s="18">
        <v>2709243.77</v>
      </c>
      <c r="G1654" s="18">
        <v>4397474.1100000003</v>
      </c>
      <c r="H1654" s="18"/>
      <c r="I1654" s="18"/>
      <c r="J1654" s="18">
        <v>655464.28</v>
      </c>
      <c r="K1654" s="18"/>
      <c r="L1654" s="10"/>
      <c r="M1654" s="18"/>
      <c r="N1654" s="18"/>
      <c r="O1654" s="18"/>
      <c r="P1654" s="18">
        <v>2462246.3199999998</v>
      </c>
      <c r="Q1654" s="18"/>
      <c r="R1654" s="18"/>
      <c r="S1654" s="18"/>
    </row>
    <row r="1655" spans="1:19" x14ac:dyDescent="0.25">
      <c r="A1655" s="9" t="s">
        <v>299</v>
      </c>
      <c r="B1655" s="17" t="s">
        <v>580</v>
      </c>
      <c r="C1655" s="18">
        <f t="shared" si="125"/>
        <v>18431209.48</v>
      </c>
      <c r="D1655" s="18"/>
      <c r="E1655" s="18"/>
      <c r="F1655" s="18">
        <v>4669201.46</v>
      </c>
      <c r="G1655" s="18">
        <v>7257986.1299999999</v>
      </c>
      <c r="H1655" s="18"/>
      <c r="I1655" s="18"/>
      <c r="J1655" s="18">
        <v>1371110.29</v>
      </c>
      <c r="K1655" s="18"/>
      <c r="L1655" s="10"/>
      <c r="M1655" s="18"/>
      <c r="N1655" s="18"/>
      <c r="O1655" s="18"/>
      <c r="P1655" s="18">
        <v>5132911.5999999996</v>
      </c>
      <c r="Q1655" s="18"/>
      <c r="R1655" s="18"/>
      <c r="S1655" s="18"/>
    </row>
    <row r="1656" spans="1:19" x14ac:dyDescent="0.25">
      <c r="A1656" s="9" t="s">
        <v>301</v>
      </c>
      <c r="B1656" s="17" t="s">
        <v>1977</v>
      </c>
      <c r="C1656" s="18">
        <f t="shared" si="125"/>
        <v>28177871.219999999</v>
      </c>
      <c r="D1656" s="18">
        <v>579756.23</v>
      </c>
      <c r="E1656" s="18">
        <v>366727.83</v>
      </c>
      <c r="F1656" s="18"/>
      <c r="G1656" s="18"/>
      <c r="H1656" s="18"/>
      <c r="I1656" s="18"/>
      <c r="J1656" s="18"/>
      <c r="K1656" s="18"/>
      <c r="L1656" s="10">
        <v>6</v>
      </c>
      <c r="M1656" s="18">
        <v>27231387.16</v>
      </c>
      <c r="N1656" s="18"/>
      <c r="O1656" s="18"/>
      <c r="P1656" s="18"/>
      <c r="Q1656" s="18"/>
      <c r="R1656" s="18"/>
      <c r="S1656" s="18"/>
    </row>
    <row r="1657" spans="1:19" x14ac:dyDescent="0.25">
      <c r="A1657" s="9" t="s">
        <v>303</v>
      </c>
      <c r="B1657" s="17" t="s">
        <v>592</v>
      </c>
      <c r="C1657" s="18">
        <f t="shared" si="125"/>
        <v>51729215.149999999</v>
      </c>
      <c r="D1657" s="18"/>
      <c r="E1657" s="18"/>
      <c r="F1657" s="18">
        <v>5003454.9000000004</v>
      </c>
      <c r="G1657" s="18"/>
      <c r="H1657" s="18"/>
      <c r="I1657" s="18"/>
      <c r="J1657" s="18">
        <v>1307508.02</v>
      </c>
      <c r="K1657" s="18"/>
      <c r="L1657" s="10"/>
      <c r="M1657" s="18"/>
      <c r="N1657" s="18" t="s">
        <v>883</v>
      </c>
      <c r="O1657" s="18">
        <v>14406142.24</v>
      </c>
      <c r="P1657" s="18"/>
      <c r="Q1657" s="18"/>
      <c r="R1657" s="18">
        <v>31012109.989999998</v>
      </c>
      <c r="S1657" s="18"/>
    </row>
    <row r="1658" spans="1:19" x14ac:dyDescent="0.25">
      <c r="A1658" s="9" t="s">
        <v>305</v>
      </c>
      <c r="B1658" s="17" t="s">
        <v>596</v>
      </c>
      <c r="C1658" s="18">
        <f t="shared" ref="C1658:C1689" si="127">ROUNDUP(SUM(D1658+E1658+F1658+G1658+H1658+I1658+J1658+K1658+M1658+O1658+P1658+Q1658+R1658+S1658),2)</f>
        <v>33930733.090000004</v>
      </c>
      <c r="D1658" s="18"/>
      <c r="E1658" s="18"/>
      <c r="F1658" s="18"/>
      <c r="G1658" s="18"/>
      <c r="H1658" s="18"/>
      <c r="I1658" s="18"/>
      <c r="J1658" s="18">
        <v>1050877.7</v>
      </c>
      <c r="K1658" s="18"/>
      <c r="L1658" s="10"/>
      <c r="M1658" s="18"/>
      <c r="N1658" s="18"/>
      <c r="O1658" s="18"/>
      <c r="P1658" s="18"/>
      <c r="Q1658" s="18"/>
      <c r="R1658" s="18">
        <v>32879855.390000001</v>
      </c>
      <c r="S1658" s="18"/>
    </row>
    <row r="1659" spans="1:19" x14ac:dyDescent="0.25">
      <c r="A1659" s="9" t="s">
        <v>307</v>
      </c>
      <c r="B1659" s="17" t="s">
        <v>598</v>
      </c>
      <c r="C1659" s="18">
        <f t="shared" si="127"/>
        <v>35591345.759999998</v>
      </c>
      <c r="D1659" s="18"/>
      <c r="E1659" s="18"/>
      <c r="F1659" s="18">
        <v>2236944.35</v>
      </c>
      <c r="G1659" s="18"/>
      <c r="H1659" s="18"/>
      <c r="I1659" s="18"/>
      <c r="J1659" s="18"/>
      <c r="K1659" s="18"/>
      <c r="L1659" s="10"/>
      <c r="M1659" s="18"/>
      <c r="N1659" s="18" t="s">
        <v>883</v>
      </c>
      <c r="O1659" s="18">
        <v>9275814.9800000004</v>
      </c>
      <c r="P1659" s="18"/>
      <c r="Q1659" s="18"/>
      <c r="R1659" s="18">
        <v>24078586.43</v>
      </c>
      <c r="S1659" s="18"/>
    </row>
    <row r="1660" spans="1:19" x14ac:dyDescent="0.25">
      <c r="A1660" s="9" t="s">
        <v>309</v>
      </c>
      <c r="B1660" s="17" t="s">
        <v>1978</v>
      </c>
      <c r="C1660" s="18">
        <f t="shared" si="127"/>
        <v>311099.75</v>
      </c>
      <c r="D1660" s="18"/>
      <c r="E1660" s="18">
        <v>311099.75</v>
      </c>
      <c r="F1660" s="18"/>
      <c r="G1660" s="18"/>
      <c r="H1660" s="18"/>
      <c r="I1660" s="18"/>
      <c r="J1660" s="18"/>
      <c r="K1660" s="18"/>
      <c r="L1660" s="10"/>
      <c r="M1660" s="18"/>
      <c r="N1660" s="18"/>
      <c r="O1660" s="18"/>
      <c r="P1660" s="18"/>
      <c r="Q1660" s="18"/>
      <c r="R1660" s="18"/>
      <c r="S1660" s="18"/>
    </row>
    <row r="1661" spans="1:19" x14ac:dyDescent="0.25">
      <c r="A1661" s="9" t="s">
        <v>311</v>
      </c>
      <c r="B1661" s="17" t="s">
        <v>602</v>
      </c>
      <c r="C1661" s="18">
        <f t="shared" si="127"/>
        <v>5393394.6399999997</v>
      </c>
      <c r="D1661" s="18"/>
      <c r="E1661" s="18"/>
      <c r="F1661" s="18"/>
      <c r="G1661" s="18"/>
      <c r="H1661" s="18">
        <v>617536.97</v>
      </c>
      <c r="I1661" s="18">
        <v>367107.72</v>
      </c>
      <c r="J1661" s="18">
        <v>476774.95</v>
      </c>
      <c r="K1661" s="18"/>
      <c r="L1661" s="10"/>
      <c r="M1661" s="18"/>
      <c r="N1661" s="18"/>
      <c r="O1661" s="18"/>
      <c r="P1661" s="18"/>
      <c r="Q1661" s="18">
        <v>3931975</v>
      </c>
      <c r="R1661" s="18"/>
      <c r="S1661" s="18"/>
    </row>
    <row r="1662" spans="1:19" x14ac:dyDescent="0.25">
      <c r="A1662" s="9" t="s">
        <v>313</v>
      </c>
      <c r="B1662" s="17" t="s">
        <v>1979</v>
      </c>
      <c r="C1662" s="18">
        <f t="shared" si="127"/>
        <v>23524393.43</v>
      </c>
      <c r="D1662" s="18">
        <v>483130.19</v>
      </c>
      <c r="E1662" s="18">
        <v>348440.63</v>
      </c>
      <c r="F1662" s="18"/>
      <c r="G1662" s="18"/>
      <c r="H1662" s="18"/>
      <c r="I1662" s="18"/>
      <c r="J1662" s="18"/>
      <c r="K1662" s="18"/>
      <c r="L1662" s="10">
        <v>5</v>
      </c>
      <c r="M1662" s="18">
        <v>22692822.609999999</v>
      </c>
      <c r="N1662" s="18"/>
      <c r="O1662" s="18"/>
      <c r="P1662" s="18"/>
      <c r="Q1662" s="18"/>
      <c r="R1662" s="18"/>
      <c r="S1662" s="18"/>
    </row>
    <row r="1663" spans="1:19" x14ac:dyDescent="0.25">
      <c r="A1663" s="9" t="s">
        <v>315</v>
      </c>
      <c r="B1663" s="17" t="s">
        <v>1980</v>
      </c>
      <c r="C1663" s="18">
        <f t="shared" si="127"/>
        <v>17782252.43</v>
      </c>
      <c r="D1663" s="18">
        <v>362967.82</v>
      </c>
      <c r="E1663" s="18">
        <v>370537.59</v>
      </c>
      <c r="F1663" s="18"/>
      <c r="G1663" s="18"/>
      <c r="H1663" s="18"/>
      <c r="I1663" s="18"/>
      <c r="J1663" s="18"/>
      <c r="K1663" s="18"/>
      <c r="L1663" s="10">
        <v>3</v>
      </c>
      <c r="M1663" s="18">
        <v>17048747.02</v>
      </c>
      <c r="N1663" s="18"/>
      <c r="O1663" s="18"/>
      <c r="P1663" s="18"/>
      <c r="Q1663" s="18"/>
      <c r="R1663" s="18"/>
      <c r="S1663" s="18"/>
    </row>
    <row r="1664" spans="1:19" x14ac:dyDescent="0.25">
      <c r="A1664" s="9" t="s">
        <v>317</v>
      </c>
      <c r="B1664" s="17" t="s">
        <v>1981</v>
      </c>
      <c r="C1664" s="18">
        <f t="shared" si="127"/>
        <v>311611.34999999998</v>
      </c>
      <c r="D1664" s="18"/>
      <c r="E1664" s="18">
        <v>311611.34999999998</v>
      </c>
      <c r="F1664" s="18"/>
      <c r="G1664" s="18"/>
      <c r="H1664" s="18"/>
      <c r="I1664" s="18"/>
      <c r="J1664" s="18"/>
      <c r="K1664" s="18"/>
      <c r="L1664" s="10"/>
      <c r="M1664" s="18"/>
      <c r="N1664" s="18"/>
      <c r="O1664" s="18"/>
      <c r="P1664" s="18"/>
      <c r="Q1664" s="18"/>
      <c r="R1664" s="18"/>
      <c r="S1664" s="18"/>
    </row>
    <row r="1665" spans="1:19" x14ac:dyDescent="0.25">
      <c r="A1665" s="9" t="s">
        <v>319</v>
      </c>
      <c r="B1665" s="17" t="s">
        <v>1982</v>
      </c>
      <c r="C1665" s="18">
        <f t="shared" si="127"/>
        <v>310530.84999999998</v>
      </c>
      <c r="D1665" s="18"/>
      <c r="E1665" s="18">
        <v>310530.84999999998</v>
      </c>
      <c r="F1665" s="18"/>
      <c r="G1665" s="18"/>
      <c r="H1665" s="18"/>
      <c r="I1665" s="18"/>
      <c r="J1665" s="18"/>
      <c r="K1665" s="18"/>
      <c r="L1665" s="10"/>
      <c r="M1665" s="18"/>
      <c r="N1665" s="18"/>
      <c r="O1665" s="18"/>
      <c r="P1665" s="18"/>
      <c r="Q1665" s="18"/>
      <c r="R1665" s="18"/>
      <c r="S1665" s="18"/>
    </row>
    <row r="1666" spans="1:19" x14ac:dyDescent="0.25">
      <c r="A1666" s="9" t="s">
        <v>321</v>
      </c>
      <c r="B1666" s="17" t="s">
        <v>1983</v>
      </c>
      <c r="C1666" s="18">
        <f t="shared" si="127"/>
        <v>28168199.52</v>
      </c>
      <c r="D1666" s="18">
        <v>579756.23</v>
      </c>
      <c r="E1666" s="18">
        <v>357056.29</v>
      </c>
      <c r="F1666" s="18"/>
      <c r="G1666" s="18"/>
      <c r="H1666" s="18"/>
      <c r="I1666" s="18"/>
      <c r="J1666" s="18"/>
      <c r="K1666" s="18"/>
      <c r="L1666" s="10">
        <v>6</v>
      </c>
      <c r="M1666" s="18">
        <v>27231387</v>
      </c>
      <c r="N1666" s="18"/>
      <c r="O1666" s="18"/>
      <c r="P1666" s="18"/>
      <c r="Q1666" s="18"/>
      <c r="R1666" s="18"/>
      <c r="S1666" s="18"/>
    </row>
    <row r="1667" spans="1:19" x14ac:dyDescent="0.25">
      <c r="A1667" s="9" t="s">
        <v>323</v>
      </c>
      <c r="B1667" s="17" t="s">
        <v>606</v>
      </c>
      <c r="C1667" s="18">
        <f t="shared" si="127"/>
        <v>2539113.56</v>
      </c>
      <c r="D1667" s="18"/>
      <c r="E1667" s="18"/>
      <c r="F1667" s="18"/>
      <c r="G1667" s="18">
        <v>2539113.56</v>
      </c>
      <c r="H1667" s="18"/>
      <c r="I1667" s="18"/>
      <c r="J1667" s="18"/>
      <c r="K1667" s="18"/>
      <c r="L1667" s="10"/>
      <c r="M1667" s="18"/>
      <c r="N1667" s="18"/>
      <c r="O1667" s="18"/>
      <c r="P1667" s="18"/>
      <c r="Q1667" s="18"/>
      <c r="R1667" s="18"/>
      <c r="S1667" s="18"/>
    </row>
    <row r="1668" spans="1:19" x14ac:dyDescent="0.25">
      <c r="A1668" s="9" t="s">
        <v>325</v>
      </c>
      <c r="B1668" s="17" t="s">
        <v>1984</v>
      </c>
      <c r="C1668" s="18">
        <f t="shared" si="127"/>
        <v>14195388.35</v>
      </c>
      <c r="D1668" s="18">
        <v>289878.12</v>
      </c>
      <c r="E1668" s="18">
        <v>289816.65999999997</v>
      </c>
      <c r="F1668" s="18"/>
      <c r="G1668" s="18"/>
      <c r="H1668" s="18"/>
      <c r="I1668" s="18"/>
      <c r="J1668" s="18"/>
      <c r="K1668" s="18"/>
      <c r="L1668" s="10">
        <v>3</v>
      </c>
      <c r="M1668" s="18">
        <v>13615693.57</v>
      </c>
      <c r="N1668" s="18"/>
      <c r="O1668" s="18"/>
      <c r="P1668" s="18"/>
      <c r="Q1668" s="18"/>
      <c r="R1668" s="18"/>
      <c r="S1668" s="18"/>
    </row>
    <row r="1669" spans="1:19" x14ac:dyDescent="0.25">
      <c r="A1669" s="9" t="s">
        <v>327</v>
      </c>
      <c r="B1669" s="17" t="s">
        <v>608</v>
      </c>
      <c r="C1669" s="18">
        <f t="shared" si="127"/>
        <v>59585976.039999999</v>
      </c>
      <c r="D1669" s="18"/>
      <c r="E1669" s="18"/>
      <c r="F1669" s="18">
        <v>8944967.4199999999</v>
      </c>
      <c r="G1669" s="18">
        <v>10135191.859999999</v>
      </c>
      <c r="H1669" s="18">
        <v>2790488.04</v>
      </c>
      <c r="I1669" s="18">
        <v>1297222.8400000001</v>
      </c>
      <c r="J1669" s="18">
        <v>2599513.2999999998</v>
      </c>
      <c r="K1669" s="18"/>
      <c r="L1669" s="10"/>
      <c r="M1669" s="18"/>
      <c r="N1669" s="18" t="s">
        <v>552</v>
      </c>
      <c r="O1669" s="18">
        <v>21436547.300000001</v>
      </c>
      <c r="P1669" s="18">
        <v>12382045.279999999</v>
      </c>
      <c r="Q1669" s="18"/>
      <c r="R1669" s="18"/>
      <c r="S1669" s="18"/>
    </row>
    <row r="1670" spans="1:19" ht="15" customHeight="1" x14ac:dyDescent="0.25">
      <c r="A1670" s="9" t="s">
        <v>329</v>
      </c>
      <c r="B1670" s="17" t="s">
        <v>1985</v>
      </c>
      <c r="C1670" s="18">
        <f t="shared" si="127"/>
        <v>310811.74</v>
      </c>
      <c r="D1670" s="18"/>
      <c r="E1670" s="18">
        <v>310811.74</v>
      </c>
      <c r="F1670" s="18"/>
      <c r="G1670" s="18"/>
      <c r="H1670" s="18"/>
      <c r="I1670" s="18"/>
      <c r="J1670" s="18"/>
      <c r="K1670" s="18"/>
      <c r="L1670" s="10"/>
      <c r="M1670" s="18"/>
      <c r="N1670" s="18"/>
      <c r="O1670" s="18"/>
      <c r="P1670" s="18"/>
      <c r="Q1670" s="18"/>
      <c r="R1670" s="18"/>
      <c r="S1670" s="18"/>
    </row>
    <row r="1671" spans="1:19" ht="15" customHeight="1" x14ac:dyDescent="0.25">
      <c r="A1671" s="9" t="s">
        <v>331</v>
      </c>
      <c r="B1671" s="17" t="s">
        <v>1986</v>
      </c>
      <c r="C1671" s="18">
        <f t="shared" si="127"/>
        <v>3959346.3</v>
      </c>
      <c r="D1671" s="18">
        <v>79220.070000000007</v>
      </c>
      <c r="E1671" s="18">
        <v>139801.70000000001</v>
      </c>
      <c r="F1671" s="18"/>
      <c r="G1671" s="18"/>
      <c r="H1671" s="18"/>
      <c r="I1671" s="18"/>
      <c r="J1671" s="18"/>
      <c r="K1671" s="18"/>
      <c r="L1671" s="10">
        <v>1</v>
      </c>
      <c r="M1671" s="18">
        <v>3740324.53</v>
      </c>
      <c r="N1671" s="18"/>
      <c r="O1671" s="18"/>
      <c r="P1671" s="18"/>
      <c r="Q1671" s="18"/>
      <c r="R1671" s="18"/>
      <c r="S1671" s="18"/>
    </row>
    <row r="1672" spans="1:19" x14ac:dyDescent="0.25">
      <c r="A1672" s="9" t="s">
        <v>333</v>
      </c>
      <c r="B1672" s="17" t="s">
        <v>1987</v>
      </c>
      <c r="C1672" s="18">
        <f t="shared" si="127"/>
        <v>18854425.57</v>
      </c>
      <c r="D1672" s="18">
        <v>385210.5</v>
      </c>
      <c r="E1672" s="18">
        <v>375720.49</v>
      </c>
      <c r="F1672" s="18"/>
      <c r="G1672" s="18"/>
      <c r="H1672" s="18"/>
      <c r="I1672" s="18"/>
      <c r="J1672" s="18"/>
      <c r="K1672" s="18"/>
      <c r="L1672" s="10">
        <v>3</v>
      </c>
      <c r="M1672" s="18">
        <v>18093494.579999998</v>
      </c>
      <c r="N1672" s="18"/>
      <c r="O1672" s="18"/>
      <c r="P1672" s="18"/>
      <c r="Q1672" s="18"/>
      <c r="R1672" s="18"/>
      <c r="S1672" s="18"/>
    </row>
    <row r="1673" spans="1:19" x14ac:dyDescent="0.25">
      <c r="A1673" s="9" t="s">
        <v>335</v>
      </c>
      <c r="B1673" s="17" t="s">
        <v>1988</v>
      </c>
      <c r="C1673" s="18">
        <f t="shared" si="127"/>
        <v>18793861.850000001</v>
      </c>
      <c r="D1673" s="18">
        <v>385210.5</v>
      </c>
      <c r="E1673" s="18">
        <v>315156.77</v>
      </c>
      <c r="F1673" s="18"/>
      <c r="G1673" s="18"/>
      <c r="H1673" s="18"/>
      <c r="I1673" s="18"/>
      <c r="J1673" s="18"/>
      <c r="K1673" s="18"/>
      <c r="L1673" s="10">
        <v>3</v>
      </c>
      <c r="M1673" s="18">
        <v>18093494.579999998</v>
      </c>
      <c r="N1673" s="18"/>
      <c r="O1673" s="18"/>
      <c r="P1673" s="18"/>
      <c r="Q1673" s="18"/>
      <c r="R1673" s="18"/>
      <c r="S1673" s="18"/>
    </row>
    <row r="1674" spans="1:19" x14ac:dyDescent="0.25">
      <c r="A1674" s="9" t="s">
        <v>337</v>
      </c>
      <c r="B1674" s="17" t="s">
        <v>1989</v>
      </c>
      <c r="C1674" s="18">
        <f t="shared" si="127"/>
        <v>7426454.2300000004</v>
      </c>
      <c r="D1674" s="18">
        <v>149732.55000000002</v>
      </c>
      <c r="E1674" s="18">
        <f>ROUNDUP(SUM(F1674+G1674+H1674+I1674+J1674+K1674+M1674+O1674+P1674+Q1674+R1674+S1674)*0.04,2)</f>
        <v>279873.91999999998</v>
      </c>
      <c r="F1674" s="18">
        <v>3721957.57</v>
      </c>
      <c r="G1674" s="18"/>
      <c r="H1674" s="18"/>
      <c r="I1674" s="18"/>
      <c r="J1674" s="18"/>
      <c r="K1674" s="18"/>
      <c r="L1674" s="10"/>
      <c r="M1674" s="18"/>
      <c r="N1674" s="18"/>
      <c r="O1674" s="18"/>
      <c r="P1674" s="18">
        <v>3274890.19</v>
      </c>
      <c r="Q1674" s="18"/>
      <c r="R1674" s="18"/>
      <c r="S1674" s="18"/>
    </row>
    <row r="1675" spans="1:19" ht="15" customHeight="1" x14ac:dyDescent="0.25">
      <c r="A1675" s="9" t="s">
        <v>339</v>
      </c>
      <c r="B1675" s="17" t="s">
        <v>1990</v>
      </c>
      <c r="C1675" s="18">
        <f t="shared" si="127"/>
        <v>18844903.710000001</v>
      </c>
      <c r="D1675" s="18">
        <v>386504.15</v>
      </c>
      <c r="E1675" s="18">
        <v>304141.46999999997</v>
      </c>
      <c r="F1675" s="18"/>
      <c r="G1675" s="18"/>
      <c r="H1675" s="18"/>
      <c r="I1675" s="18"/>
      <c r="J1675" s="18"/>
      <c r="K1675" s="18"/>
      <c r="L1675" s="10">
        <v>4</v>
      </c>
      <c r="M1675" s="18">
        <v>18154258.09</v>
      </c>
      <c r="N1675" s="18"/>
      <c r="O1675" s="18"/>
      <c r="P1675" s="18"/>
      <c r="Q1675" s="18"/>
      <c r="R1675" s="18"/>
      <c r="S1675" s="18"/>
    </row>
    <row r="1676" spans="1:19" x14ac:dyDescent="0.25">
      <c r="A1676" s="9" t="s">
        <v>341</v>
      </c>
      <c r="B1676" s="17" t="s">
        <v>1991</v>
      </c>
      <c r="C1676" s="18">
        <f t="shared" si="127"/>
        <v>15528425.59</v>
      </c>
      <c r="D1676" s="18">
        <v>316880.28999999998</v>
      </c>
      <c r="E1676" s="18">
        <v>250247.19</v>
      </c>
      <c r="F1676" s="18"/>
      <c r="G1676" s="18"/>
      <c r="H1676" s="18"/>
      <c r="I1676" s="18"/>
      <c r="J1676" s="18"/>
      <c r="K1676" s="18"/>
      <c r="L1676" s="10">
        <v>4</v>
      </c>
      <c r="M1676" s="18">
        <v>14961298.109999999</v>
      </c>
      <c r="N1676" s="18"/>
      <c r="O1676" s="18"/>
      <c r="P1676" s="18"/>
      <c r="Q1676" s="18"/>
      <c r="R1676" s="18"/>
      <c r="S1676" s="18"/>
    </row>
    <row r="1677" spans="1:19" x14ac:dyDescent="0.25">
      <c r="A1677" s="9" t="s">
        <v>343</v>
      </c>
      <c r="B1677" s="17" t="s">
        <v>1992</v>
      </c>
      <c r="C1677" s="18">
        <f t="shared" si="127"/>
        <v>229983.15</v>
      </c>
      <c r="D1677" s="18"/>
      <c r="E1677" s="18">
        <v>229983.15</v>
      </c>
      <c r="F1677" s="18"/>
      <c r="G1677" s="18"/>
      <c r="H1677" s="18"/>
      <c r="I1677" s="18"/>
      <c r="J1677" s="18"/>
      <c r="K1677" s="18"/>
      <c r="L1677" s="10"/>
      <c r="M1677" s="18"/>
      <c r="N1677" s="18"/>
      <c r="O1677" s="18"/>
      <c r="P1677" s="18"/>
      <c r="Q1677" s="18"/>
      <c r="R1677" s="18"/>
      <c r="S1677" s="18"/>
    </row>
    <row r="1678" spans="1:19" x14ac:dyDescent="0.25">
      <c r="A1678" s="9" t="s">
        <v>345</v>
      </c>
      <c r="B1678" s="17" t="s">
        <v>628</v>
      </c>
      <c r="C1678" s="18">
        <f t="shared" si="127"/>
        <v>21656173.870000001</v>
      </c>
      <c r="D1678" s="18"/>
      <c r="E1678" s="18"/>
      <c r="F1678" s="18"/>
      <c r="G1678" s="18">
        <v>3296938.27</v>
      </c>
      <c r="H1678" s="18">
        <v>1928899.62</v>
      </c>
      <c r="I1678" s="18">
        <v>368931</v>
      </c>
      <c r="J1678" s="18">
        <v>577752.78</v>
      </c>
      <c r="K1678" s="18"/>
      <c r="L1678" s="10"/>
      <c r="M1678" s="18"/>
      <c r="N1678" s="18" t="s">
        <v>883</v>
      </c>
      <c r="O1678" s="18">
        <v>11261088.59</v>
      </c>
      <c r="P1678" s="18">
        <v>4222563.6100000003</v>
      </c>
      <c r="Q1678" s="18"/>
      <c r="R1678" s="18"/>
      <c r="S1678" s="18"/>
    </row>
    <row r="1679" spans="1:19" x14ac:dyDescent="0.25">
      <c r="A1679" s="9" t="s">
        <v>347</v>
      </c>
      <c r="B1679" s="17" t="s">
        <v>630</v>
      </c>
      <c r="C1679" s="18">
        <f t="shared" si="127"/>
        <v>26866895.100000001</v>
      </c>
      <c r="D1679" s="18"/>
      <c r="E1679" s="18"/>
      <c r="F1679" s="18"/>
      <c r="G1679" s="18">
        <v>4544118.92</v>
      </c>
      <c r="H1679" s="18">
        <v>2325669.08</v>
      </c>
      <c r="I1679" s="18">
        <v>684468.26</v>
      </c>
      <c r="J1679" s="18">
        <v>681219.36</v>
      </c>
      <c r="K1679" s="18"/>
      <c r="L1679" s="10"/>
      <c r="M1679" s="18"/>
      <c r="N1679" s="18" t="s">
        <v>883</v>
      </c>
      <c r="O1679" s="18">
        <v>13830245.300000001</v>
      </c>
      <c r="P1679" s="18">
        <v>4801174.18</v>
      </c>
      <c r="Q1679" s="18"/>
      <c r="R1679" s="18"/>
      <c r="S1679" s="18"/>
    </row>
    <row r="1680" spans="1:19" x14ac:dyDescent="0.25">
      <c r="A1680" s="9" t="s">
        <v>349</v>
      </c>
      <c r="B1680" s="17" t="s">
        <v>632</v>
      </c>
      <c r="C1680" s="18">
        <f t="shared" si="127"/>
        <v>2792139.53</v>
      </c>
      <c r="D1680" s="18"/>
      <c r="E1680" s="18"/>
      <c r="F1680" s="18">
        <v>474214.98</v>
      </c>
      <c r="G1680" s="18">
        <v>1351548.23</v>
      </c>
      <c r="H1680" s="18"/>
      <c r="I1680" s="18"/>
      <c r="J1680" s="18">
        <v>181487.11</v>
      </c>
      <c r="K1680" s="18"/>
      <c r="L1680" s="10"/>
      <c r="M1680" s="18"/>
      <c r="N1680" s="18"/>
      <c r="O1680" s="18"/>
      <c r="P1680" s="18">
        <v>784889.21</v>
      </c>
      <c r="Q1680" s="18"/>
      <c r="R1680" s="18"/>
      <c r="S1680" s="18"/>
    </row>
    <row r="1681" spans="1:19" x14ac:dyDescent="0.25">
      <c r="A1681" s="9" t="s">
        <v>351</v>
      </c>
      <c r="B1681" s="17" t="s">
        <v>1993</v>
      </c>
      <c r="C1681" s="18">
        <f t="shared" si="127"/>
        <v>9481444.9399999995</v>
      </c>
      <c r="D1681" s="18">
        <v>193252.08</v>
      </c>
      <c r="E1681" s="18">
        <v>211063.81</v>
      </c>
      <c r="F1681" s="18"/>
      <c r="G1681" s="18"/>
      <c r="H1681" s="18"/>
      <c r="I1681" s="18"/>
      <c r="J1681" s="18"/>
      <c r="K1681" s="18"/>
      <c r="L1681" s="10">
        <v>2</v>
      </c>
      <c r="M1681" s="18">
        <v>9077129.0500000007</v>
      </c>
      <c r="N1681" s="18"/>
      <c r="O1681" s="18"/>
      <c r="P1681" s="18"/>
      <c r="Q1681" s="18"/>
      <c r="R1681" s="18"/>
      <c r="S1681" s="18"/>
    </row>
    <row r="1682" spans="1:19" x14ac:dyDescent="0.25">
      <c r="A1682" s="9" t="s">
        <v>353</v>
      </c>
      <c r="B1682" s="17" t="s">
        <v>1994</v>
      </c>
      <c r="C1682" s="18">
        <f t="shared" si="127"/>
        <v>9476668.7799999993</v>
      </c>
      <c r="D1682" s="18">
        <v>193252.08</v>
      </c>
      <c r="E1682" s="18">
        <v>206287.65</v>
      </c>
      <c r="F1682" s="18"/>
      <c r="G1682" s="18"/>
      <c r="H1682" s="18"/>
      <c r="I1682" s="18"/>
      <c r="J1682" s="18"/>
      <c r="K1682" s="18"/>
      <c r="L1682" s="10">
        <v>2</v>
      </c>
      <c r="M1682" s="18">
        <v>9077129.0500000007</v>
      </c>
      <c r="N1682" s="18"/>
      <c r="O1682" s="18"/>
      <c r="P1682" s="18"/>
      <c r="Q1682" s="18"/>
      <c r="R1682" s="18"/>
      <c r="S1682" s="18"/>
    </row>
    <row r="1683" spans="1:19" x14ac:dyDescent="0.25">
      <c r="A1683" s="9" t="s">
        <v>356</v>
      </c>
      <c r="B1683" s="17" t="s">
        <v>646</v>
      </c>
      <c r="C1683" s="18">
        <f t="shared" si="127"/>
        <v>9209509.0700000003</v>
      </c>
      <c r="D1683" s="18"/>
      <c r="E1683" s="18"/>
      <c r="F1683" s="18">
        <v>4441005.53</v>
      </c>
      <c r="G1683" s="18"/>
      <c r="H1683" s="18">
        <v>2837798.63</v>
      </c>
      <c r="I1683" s="18">
        <v>914197.94</v>
      </c>
      <c r="J1683" s="18">
        <v>1016506.97</v>
      </c>
      <c r="K1683" s="18"/>
      <c r="L1683" s="10"/>
      <c r="M1683" s="18"/>
      <c r="N1683" s="18"/>
      <c r="O1683" s="18"/>
      <c r="P1683" s="18"/>
      <c r="Q1683" s="18"/>
      <c r="R1683" s="18"/>
      <c r="S1683" s="18"/>
    </row>
    <row r="1684" spans="1:19" x14ac:dyDescent="0.25">
      <c r="A1684" s="9" t="s">
        <v>358</v>
      </c>
      <c r="B1684" s="17" t="s">
        <v>1995</v>
      </c>
      <c r="C1684" s="18">
        <f t="shared" si="127"/>
        <v>364909.72</v>
      </c>
      <c r="D1684" s="18"/>
      <c r="E1684" s="18">
        <v>364909.72000000003</v>
      </c>
      <c r="F1684" s="18"/>
      <c r="G1684" s="18"/>
      <c r="H1684" s="18"/>
      <c r="I1684" s="18"/>
      <c r="J1684" s="18"/>
      <c r="K1684" s="18"/>
      <c r="L1684" s="10"/>
      <c r="M1684" s="18"/>
      <c r="N1684" s="18"/>
      <c r="O1684" s="18"/>
      <c r="P1684" s="18"/>
      <c r="Q1684" s="18"/>
      <c r="R1684" s="18"/>
      <c r="S1684" s="18"/>
    </row>
    <row r="1685" spans="1:19" x14ac:dyDescent="0.25">
      <c r="A1685" s="9" t="s">
        <v>360</v>
      </c>
      <c r="B1685" s="17" t="s">
        <v>648</v>
      </c>
      <c r="C1685" s="18">
        <f t="shared" si="127"/>
        <v>28749075.579999998</v>
      </c>
      <c r="D1685" s="18"/>
      <c r="E1685" s="18"/>
      <c r="F1685" s="18"/>
      <c r="G1685" s="18">
        <v>3284199.89</v>
      </c>
      <c r="H1685" s="18">
        <v>2106800.7200000002</v>
      </c>
      <c r="I1685" s="18">
        <v>812292.29</v>
      </c>
      <c r="J1685" s="18">
        <v>1180821.08</v>
      </c>
      <c r="K1685" s="18"/>
      <c r="L1685" s="10"/>
      <c r="M1685" s="18"/>
      <c r="N1685" s="18" t="s">
        <v>883</v>
      </c>
      <c r="O1685" s="18">
        <v>11290020.720000001</v>
      </c>
      <c r="P1685" s="18"/>
      <c r="Q1685" s="18"/>
      <c r="R1685" s="18">
        <v>10074940.880000001</v>
      </c>
      <c r="S1685" s="18"/>
    </row>
    <row r="1686" spans="1:19" x14ac:dyDescent="0.25">
      <c r="A1686" s="9" t="s">
        <v>362</v>
      </c>
      <c r="B1686" s="17" t="s">
        <v>1996</v>
      </c>
      <c r="C1686" s="18">
        <f>ROUNDUP(SUM(D1686+E1686+F1686+G1686+H1686+I1686+J1686+K1686+M1686+O1686+P1686+Q1686+R1686+S1686),2)</f>
        <v>11673854.34</v>
      </c>
      <c r="D1686" s="18">
        <v>237114.66</v>
      </c>
      <c r="E1686" s="18">
        <v>299367.21999999997</v>
      </c>
      <c r="F1686" s="18"/>
      <c r="G1686" s="18"/>
      <c r="H1686" s="18"/>
      <c r="I1686" s="18"/>
      <c r="J1686" s="18"/>
      <c r="K1686" s="18"/>
      <c r="L1686" s="10">
        <v>2</v>
      </c>
      <c r="M1686" s="18">
        <v>11137372.460000001</v>
      </c>
      <c r="N1686" s="18"/>
      <c r="O1686" s="18"/>
      <c r="P1686" s="18"/>
      <c r="Q1686" s="18"/>
      <c r="R1686" s="18"/>
      <c r="S1686" s="18"/>
    </row>
    <row r="1687" spans="1:19" x14ac:dyDescent="0.25">
      <c r="A1687" s="9" t="s">
        <v>364</v>
      </c>
      <c r="B1687" s="17" t="s">
        <v>1997</v>
      </c>
      <c r="C1687" s="18">
        <f t="shared" si="127"/>
        <v>17361097.84</v>
      </c>
      <c r="D1687" s="18">
        <v>355671.99</v>
      </c>
      <c r="E1687" s="18">
        <v>299367.21999999997</v>
      </c>
      <c r="F1687" s="18"/>
      <c r="G1687" s="18"/>
      <c r="H1687" s="18"/>
      <c r="I1687" s="18"/>
      <c r="J1687" s="18"/>
      <c r="K1687" s="18"/>
      <c r="L1687" s="10">
        <v>3</v>
      </c>
      <c r="M1687" s="18">
        <v>16706058.630000001</v>
      </c>
      <c r="N1687" s="18"/>
      <c r="O1687" s="18"/>
      <c r="P1687" s="18"/>
      <c r="Q1687" s="18"/>
      <c r="R1687" s="18"/>
      <c r="S1687" s="18"/>
    </row>
    <row r="1688" spans="1:19" x14ac:dyDescent="0.25">
      <c r="A1688" s="9" t="s">
        <v>366</v>
      </c>
      <c r="B1688" s="17" t="s">
        <v>1998</v>
      </c>
      <c r="C1688" s="18">
        <f t="shared" si="127"/>
        <v>11625626.77</v>
      </c>
      <c r="D1688" s="18">
        <v>237114.66</v>
      </c>
      <c r="E1688" s="18">
        <v>251139.65</v>
      </c>
      <c r="F1688" s="18"/>
      <c r="G1688" s="18"/>
      <c r="H1688" s="18"/>
      <c r="I1688" s="18"/>
      <c r="J1688" s="18"/>
      <c r="K1688" s="18"/>
      <c r="L1688" s="10">
        <v>2</v>
      </c>
      <c r="M1688" s="18">
        <v>11137372.460000001</v>
      </c>
      <c r="N1688" s="18"/>
      <c r="O1688" s="18"/>
      <c r="P1688" s="18"/>
      <c r="Q1688" s="18"/>
      <c r="R1688" s="18"/>
      <c r="S1688" s="18"/>
    </row>
    <row r="1689" spans="1:19" x14ac:dyDescent="0.25">
      <c r="A1689" s="9" t="s">
        <v>368</v>
      </c>
      <c r="B1689" s="17" t="s">
        <v>1999</v>
      </c>
      <c r="C1689" s="18">
        <f t="shared" si="127"/>
        <v>17361097.84</v>
      </c>
      <c r="D1689" s="18">
        <v>355671.99</v>
      </c>
      <c r="E1689" s="18">
        <v>299367.21999999997</v>
      </c>
      <c r="F1689" s="18"/>
      <c r="G1689" s="18"/>
      <c r="H1689" s="18"/>
      <c r="I1689" s="18"/>
      <c r="J1689" s="18"/>
      <c r="K1689" s="18"/>
      <c r="L1689" s="10">
        <v>3</v>
      </c>
      <c r="M1689" s="18">
        <v>16706058.630000001</v>
      </c>
      <c r="N1689" s="18"/>
      <c r="O1689" s="18"/>
      <c r="P1689" s="18"/>
      <c r="Q1689" s="18"/>
      <c r="R1689" s="18"/>
      <c r="S1689" s="18"/>
    </row>
    <row r="1690" spans="1:19" x14ac:dyDescent="0.25">
      <c r="A1690" s="9" t="s">
        <v>370</v>
      </c>
      <c r="B1690" s="17" t="s">
        <v>650</v>
      </c>
      <c r="C1690" s="18">
        <f t="shared" ref="C1690:C1721" si="128">ROUNDUP(SUM(D1690+E1690+F1690+G1690+H1690+I1690+J1690+K1690+M1690+O1690+P1690+Q1690+R1690+S1690),2)</f>
        <v>43193046.640000001</v>
      </c>
      <c r="D1690" s="18"/>
      <c r="E1690" s="18"/>
      <c r="F1690" s="18"/>
      <c r="G1690" s="18">
        <v>8225552.2300000004</v>
      </c>
      <c r="H1690" s="18">
        <v>3453815.05</v>
      </c>
      <c r="I1690" s="18"/>
      <c r="J1690" s="18">
        <v>1460350.3</v>
      </c>
      <c r="K1690" s="18"/>
      <c r="L1690" s="10"/>
      <c r="M1690" s="18"/>
      <c r="N1690" s="18"/>
      <c r="O1690" s="18"/>
      <c r="P1690" s="18"/>
      <c r="Q1690" s="18"/>
      <c r="R1690" s="18">
        <v>30053329.059999999</v>
      </c>
      <c r="S1690" s="18"/>
    </row>
    <row r="1691" spans="1:19" x14ac:dyDescent="0.25">
      <c r="A1691" s="9" t="s">
        <v>372</v>
      </c>
      <c r="B1691" s="17" t="s">
        <v>652</v>
      </c>
      <c r="C1691" s="18">
        <f t="shared" si="128"/>
        <v>48733841.770000003</v>
      </c>
      <c r="D1691" s="18"/>
      <c r="E1691" s="18"/>
      <c r="F1691" s="18"/>
      <c r="G1691" s="18">
        <v>7180507.9400000004</v>
      </c>
      <c r="H1691" s="18"/>
      <c r="I1691" s="18"/>
      <c r="J1691" s="18">
        <v>2673890.7999999998</v>
      </c>
      <c r="K1691" s="18"/>
      <c r="L1691" s="10"/>
      <c r="M1691" s="18"/>
      <c r="N1691" s="18"/>
      <c r="O1691" s="18"/>
      <c r="P1691" s="18"/>
      <c r="Q1691" s="18"/>
      <c r="R1691" s="18">
        <v>38879443.030000001</v>
      </c>
      <c r="S1691" s="18"/>
    </row>
    <row r="1692" spans="1:19" x14ac:dyDescent="0.25">
      <c r="A1692" s="9" t="s">
        <v>374</v>
      </c>
      <c r="B1692" s="17" t="s">
        <v>654</v>
      </c>
      <c r="C1692" s="18">
        <f t="shared" si="128"/>
        <v>13701920.15</v>
      </c>
      <c r="D1692" s="18"/>
      <c r="E1692" s="18"/>
      <c r="F1692" s="18"/>
      <c r="G1692" s="18"/>
      <c r="H1692" s="18"/>
      <c r="I1692" s="18"/>
      <c r="J1692" s="18">
        <v>1076156.6200000001</v>
      </c>
      <c r="K1692" s="18"/>
      <c r="L1692" s="10"/>
      <c r="M1692" s="18"/>
      <c r="N1692" s="18" t="s">
        <v>552</v>
      </c>
      <c r="O1692" s="18">
        <v>6710275.3899999997</v>
      </c>
      <c r="P1692" s="18"/>
      <c r="Q1692" s="18">
        <v>5915488.1399999997</v>
      </c>
      <c r="R1692" s="18"/>
      <c r="S1692" s="18"/>
    </row>
    <row r="1693" spans="1:19" ht="15" customHeight="1" x14ac:dyDescent="0.25">
      <c r="A1693" s="9" t="s">
        <v>376</v>
      </c>
      <c r="B1693" s="17" t="s">
        <v>656</v>
      </c>
      <c r="C1693" s="18">
        <f t="shared" si="128"/>
        <v>19114557.449999999</v>
      </c>
      <c r="D1693" s="18"/>
      <c r="E1693" s="18"/>
      <c r="F1693" s="18"/>
      <c r="G1693" s="18">
        <v>4328345.42</v>
      </c>
      <c r="H1693" s="18">
        <v>2131779.34</v>
      </c>
      <c r="I1693" s="18">
        <v>746258.99</v>
      </c>
      <c r="J1693" s="18">
        <v>668741.32999999996</v>
      </c>
      <c r="K1693" s="18"/>
      <c r="L1693" s="10"/>
      <c r="M1693" s="18"/>
      <c r="N1693" s="18"/>
      <c r="O1693" s="18"/>
      <c r="P1693" s="18"/>
      <c r="Q1693" s="18"/>
      <c r="R1693" s="18">
        <v>11239432.369999999</v>
      </c>
      <c r="S1693" s="18"/>
    </row>
    <row r="1694" spans="1:19" ht="15" customHeight="1" x14ac:dyDescent="0.25">
      <c r="A1694" s="9" t="s">
        <v>378</v>
      </c>
      <c r="B1694" s="17" t="s">
        <v>2000</v>
      </c>
      <c r="C1694" s="18">
        <f t="shared" si="128"/>
        <v>11918609.310000001</v>
      </c>
      <c r="D1694" s="18">
        <v>241978.55</v>
      </c>
      <c r="E1694" s="18">
        <v>310799.42</v>
      </c>
      <c r="F1694" s="18"/>
      <c r="G1694" s="18"/>
      <c r="H1694" s="18"/>
      <c r="I1694" s="18"/>
      <c r="J1694" s="18"/>
      <c r="K1694" s="18"/>
      <c r="L1694" s="10">
        <v>2</v>
      </c>
      <c r="M1694" s="18">
        <v>11365831.34</v>
      </c>
      <c r="N1694" s="18"/>
      <c r="O1694" s="18"/>
      <c r="P1694" s="18"/>
      <c r="Q1694" s="18"/>
      <c r="R1694" s="18"/>
      <c r="S1694" s="18"/>
    </row>
    <row r="1695" spans="1:19" x14ac:dyDescent="0.25">
      <c r="A1695" s="9" t="s">
        <v>380</v>
      </c>
      <c r="B1695" s="17" t="s">
        <v>670</v>
      </c>
      <c r="C1695" s="18">
        <f t="shared" si="128"/>
        <v>69355157.930000007</v>
      </c>
      <c r="D1695" s="18"/>
      <c r="E1695" s="18"/>
      <c r="F1695" s="18"/>
      <c r="G1695" s="18">
        <v>7795555.9400000004</v>
      </c>
      <c r="H1695" s="18">
        <v>3431173.07</v>
      </c>
      <c r="I1695" s="18">
        <v>1531511.81</v>
      </c>
      <c r="J1695" s="18">
        <v>1621281.4</v>
      </c>
      <c r="K1695" s="18"/>
      <c r="L1695" s="10"/>
      <c r="M1695" s="18"/>
      <c r="N1695" s="18" t="s">
        <v>883</v>
      </c>
      <c r="O1695" s="18">
        <v>28031948.41</v>
      </c>
      <c r="P1695" s="18"/>
      <c r="Q1695" s="18">
        <v>26943687.300000001</v>
      </c>
      <c r="R1695" s="18"/>
      <c r="S1695" s="18"/>
    </row>
    <row r="1696" spans="1:19" x14ac:dyDescent="0.25">
      <c r="A1696" s="9" t="s">
        <v>382</v>
      </c>
      <c r="B1696" s="17" t="s">
        <v>676</v>
      </c>
      <c r="C1696" s="18">
        <f t="shared" si="128"/>
        <v>26426574.300000001</v>
      </c>
      <c r="D1696" s="18"/>
      <c r="E1696" s="18"/>
      <c r="F1696" s="18">
        <v>5696979.1100000003</v>
      </c>
      <c r="G1696" s="18">
        <v>8645700.7899999991</v>
      </c>
      <c r="H1696" s="18"/>
      <c r="I1696" s="18"/>
      <c r="J1696" s="18"/>
      <c r="K1696" s="18"/>
      <c r="L1696" s="10"/>
      <c r="M1696" s="18"/>
      <c r="N1696" s="18" t="s">
        <v>552</v>
      </c>
      <c r="O1696" s="18">
        <v>8071080.7400000002</v>
      </c>
      <c r="P1696" s="18">
        <v>4012813.66</v>
      </c>
      <c r="Q1696" s="18"/>
      <c r="R1696" s="18"/>
      <c r="S1696" s="18"/>
    </row>
    <row r="1697" spans="1:19" x14ac:dyDescent="0.25">
      <c r="A1697" s="9" t="s">
        <v>384</v>
      </c>
      <c r="B1697" s="17" t="s">
        <v>678</v>
      </c>
      <c r="C1697" s="18">
        <f t="shared" si="128"/>
        <v>31591459.859999999</v>
      </c>
      <c r="D1697" s="18"/>
      <c r="E1697" s="18"/>
      <c r="F1697" s="18">
        <v>6841738.5099999998</v>
      </c>
      <c r="G1697" s="18">
        <v>8617527.9600000009</v>
      </c>
      <c r="H1697" s="18"/>
      <c r="I1697" s="18"/>
      <c r="J1697" s="18">
        <v>2114591.66</v>
      </c>
      <c r="K1697" s="18"/>
      <c r="L1697" s="10"/>
      <c r="M1697" s="18"/>
      <c r="N1697" s="18" t="s">
        <v>552</v>
      </c>
      <c r="O1697" s="18">
        <v>8975397.4100000001</v>
      </c>
      <c r="P1697" s="18">
        <v>5042204.32</v>
      </c>
      <c r="Q1697" s="18"/>
      <c r="R1697" s="18"/>
      <c r="S1697" s="18"/>
    </row>
    <row r="1698" spans="1:19" x14ac:dyDescent="0.25">
      <c r="A1698" s="9" t="s">
        <v>386</v>
      </c>
      <c r="B1698" s="17" t="s">
        <v>680</v>
      </c>
      <c r="C1698" s="18">
        <f t="shared" si="128"/>
        <v>18690264.460000001</v>
      </c>
      <c r="D1698" s="18"/>
      <c r="E1698" s="18"/>
      <c r="F1698" s="18"/>
      <c r="G1698" s="18">
        <v>1936604.36</v>
      </c>
      <c r="H1698" s="18">
        <v>520255.47</v>
      </c>
      <c r="I1698" s="18">
        <v>130818.47</v>
      </c>
      <c r="J1698" s="18">
        <v>163462.37</v>
      </c>
      <c r="K1698" s="18"/>
      <c r="L1698" s="10"/>
      <c r="M1698" s="18"/>
      <c r="N1698" s="18" t="s">
        <v>883</v>
      </c>
      <c r="O1698" s="18">
        <v>5035127.5999999996</v>
      </c>
      <c r="P1698" s="18"/>
      <c r="Q1698" s="18"/>
      <c r="R1698" s="18">
        <v>10903996.189999999</v>
      </c>
      <c r="S1698" s="18"/>
    </row>
    <row r="1699" spans="1:19" x14ac:dyDescent="0.25">
      <c r="A1699" s="9" t="s">
        <v>388</v>
      </c>
      <c r="B1699" s="17" t="s">
        <v>2001</v>
      </c>
      <c r="C1699" s="18">
        <f t="shared" si="128"/>
        <v>8810422.9299999997</v>
      </c>
      <c r="D1699" s="18"/>
      <c r="E1699" s="18">
        <v>196250.18</v>
      </c>
      <c r="F1699" s="18"/>
      <c r="G1699" s="18"/>
      <c r="H1699" s="18"/>
      <c r="I1699" s="18"/>
      <c r="J1699" s="18"/>
      <c r="K1699" s="18"/>
      <c r="L1699" s="10"/>
      <c r="M1699" s="18"/>
      <c r="N1699" s="18" t="s">
        <v>552</v>
      </c>
      <c r="O1699" s="18">
        <v>8614172.75</v>
      </c>
      <c r="P1699" s="18"/>
      <c r="Q1699" s="18"/>
      <c r="R1699" s="18"/>
      <c r="S1699" s="18"/>
    </row>
    <row r="1700" spans="1:19" x14ac:dyDescent="0.25">
      <c r="A1700" s="9" t="s">
        <v>390</v>
      </c>
      <c r="B1700" s="17" t="s">
        <v>692</v>
      </c>
      <c r="C1700" s="18">
        <f t="shared" si="128"/>
        <v>26640049.359999999</v>
      </c>
      <c r="D1700" s="18"/>
      <c r="E1700" s="18"/>
      <c r="F1700" s="18"/>
      <c r="G1700" s="18"/>
      <c r="H1700" s="18"/>
      <c r="I1700" s="18"/>
      <c r="J1700" s="18"/>
      <c r="K1700" s="18"/>
      <c r="L1700" s="10"/>
      <c r="M1700" s="18"/>
      <c r="N1700" s="18"/>
      <c r="O1700" s="18"/>
      <c r="P1700" s="18"/>
      <c r="Q1700" s="18"/>
      <c r="R1700" s="18">
        <v>26640049.359999999</v>
      </c>
      <c r="S1700" s="18"/>
    </row>
    <row r="1701" spans="1:19" x14ac:dyDescent="0.25">
      <c r="A1701" s="9" t="s">
        <v>392</v>
      </c>
      <c r="B1701" s="17" t="s">
        <v>2002</v>
      </c>
      <c r="C1701" s="18">
        <f t="shared" si="128"/>
        <v>28172999.66</v>
      </c>
      <c r="D1701" s="18">
        <v>579756.23</v>
      </c>
      <c r="E1701" s="18">
        <v>361856.29</v>
      </c>
      <c r="F1701" s="18"/>
      <c r="G1701" s="18"/>
      <c r="H1701" s="18"/>
      <c r="I1701" s="18"/>
      <c r="J1701" s="18"/>
      <c r="K1701" s="18"/>
      <c r="L1701" s="10">
        <v>6</v>
      </c>
      <c r="M1701" s="18">
        <v>27231387.140000001</v>
      </c>
      <c r="N1701" s="18"/>
      <c r="O1701" s="18"/>
      <c r="P1701" s="18"/>
      <c r="Q1701" s="18"/>
      <c r="R1701" s="18"/>
      <c r="S1701" s="18"/>
    </row>
    <row r="1702" spans="1:19" x14ac:dyDescent="0.25">
      <c r="A1702" s="9" t="s">
        <v>394</v>
      </c>
      <c r="B1702" s="17" t="s">
        <v>2003</v>
      </c>
      <c r="C1702" s="18">
        <f t="shared" si="128"/>
        <v>18816315.57</v>
      </c>
      <c r="D1702" s="18">
        <v>386504.15</v>
      </c>
      <c r="E1702" s="18">
        <v>275553.33</v>
      </c>
      <c r="F1702" s="18"/>
      <c r="G1702" s="18"/>
      <c r="H1702" s="18"/>
      <c r="I1702" s="18"/>
      <c r="J1702" s="18"/>
      <c r="K1702" s="18"/>
      <c r="L1702" s="10">
        <v>4</v>
      </c>
      <c r="M1702" s="18">
        <v>18154258.09</v>
      </c>
      <c r="N1702" s="18"/>
      <c r="O1702" s="18"/>
      <c r="P1702" s="18"/>
      <c r="Q1702" s="18"/>
      <c r="R1702" s="18"/>
      <c r="S1702" s="18"/>
    </row>
    <row r="1703" spans="1:19" x14ac:dyDescent="0.25">
      <c r="A1703" s="9" t="s">
        <v>396</v>
      </c>
      <c r="B1703" s="17" t="s">
        <v>2004</v>
      </c>
      <c r="C1703" s="18">
        <f t="shared" si="128"/>
        <v>28172999.649999999</v>
      </c>
      <c r="D1703" s="18">
        <v>579756.23</v>
      </c>
      <c r="E1703" s="18">
        <v>361856.28</v>
      </c>
      <c r="F1703" s="18"/>
      <c r="G1703" s="18"/>
      <c r="H1703" s="18"/>
      <c r="I1703" s="18"/>
      <c r="J1703" s="18"/>
      <c r="K1703" s="18"/>
      <c r="L1703" s="10">
        <v>6</v>
      </c>
      <c r="M1703" s="18">
        <v>27231387.140000001</v>
      </c>
      <c r="N1703" s="18"/>
      <c r="O1703" s="18"/>
      <c r="P1703" s="18"/>
      <c r="Q1703" s="18"/>
      <c r="R1703" s="18"/>
      <c r="S1703" s="18"/>
    </row>
    <row r="1704" spans="1:19" x14ac:dyDescent="0.25">
      <c r="A1704" s="9" t="s">
        <v>398</v>
      </c>
      <c r="B1704" s="17" t="s">
        <v>2005</v>
      </c>
      <c r="C1704" s="18">
        <f t="shared" si="128"/>
        <v>28168199.66</v>
      </c>
      <c r="D1704" s="18">
        <v>579756.23</v>
      </c>
      <c r="E1704" s="18">
        <v>357056.29</v>
      </c>
      <c r="F1704" s="18"/>
      <c r="G1704" s="18"/>
      <c r="H1704" s="18"/>
      <c r="I1704" s="18"/>
      <c r="J1704" s="18"/>
      <c r="K1704" s="18"/>
      <c r="L1704" s="10">
        <v>6</v>
      </c>
      <c r="M1704" s="18">
        <v>27231387.140000001</v>
      </c>
      <c r="N1704" s="18"/>
      <c r="O1704" s="18"/>
      <c r="P1704" s="18"/>
      <c r="Q1704" s="18"/>
      <c r="R1704" s="18"/>
      <c r="S1704" s="18"/>
    </row>
    <row r="1705" spans="1:19" x14ac:dyDescent="0.25">
      <c r="A1705" s="9" t="s">
        <v>400</v>
      </c>
      <c r="B1705" s="17" t="s">
        <v>2006</v>
      </c>
      <c r="C1705" s="18">
        <f t="shared" si="128"/>
        <v>3959561.75</v>
      </c>
      <c r="D1705" s="18">
        <v>79220.070000000007</v>
      </c>
      <c r="E1705" s="18">
        <v>140017.15</v>
      </c>
      <c r="F1705" s="18"/>
      <c r="G1705" s="18"/>
      <c r="H1705" s="18"/>
      <c r="I1705" s="18"/>
      <c r="J1705" s="18"/>
      <c r="K1705" s="18"/>
      <c r="L1705" s="10">
        <v>1</v>
      </c>
      <c r="M1705" s="18">
        <v>3740324.53</v>
      </c>
      <c r="N1705" s="18"/>
      <c r="O1705" s="18"/>
      <c r="P1705" s="18"/>
      <c r="Q1705" s="18"/>
      <c r="R1705" s="18"/>
      <c r="S1705" s="18"/>
    </row>
    <row r="1706" spans="1:19" x14ac:dyDescent="0.25">
      <c r="A1706" s="9" t="s">
        <v>402</v>
      </c>
      <c r="B1706" s="17" t="s">
        <v>2007</v>
      </c>
      <c r="C1706" s="18">
        <f t="shared" si="128"/>
        <v>9494739.0999999996</v>
      </c>
      <c r="D1706" s="18">
        <v>193252.08</v>
      </c>
      <c r="E1706" s="18">
        <v>224357.97</v>
      </c>
      <c r="F1706" s="18"/>
      <c r="G1706" s="18"/>
      <c r="H1706" s="18"/>
      <c r="I1706" s="18"/>
      <c r="J1706" s="18"/>
      <c r="K1706" s="18"/>
      <c r="L1706" s="10">
        <v>2</v>
      </c>
      <c r="M1706" s="18">
        <v>9077129.0500000007</v>
      </c>
      <c r="N1706" s="18"/>
      <c r="O1706" s="18"/>
      <c r="P1706" s="18"/>
      <c r="Q1706" s="18"/>
      <c r="R1706" s="18"/>
      <c r="S1706" s="18"/>
    </row>
    <row r="1707" spans="1:19" x14ac:dyDescent="0.25">
      <c r="A1707" s="9" t="s">
        <v>404</v>
      </c>
      <c r="B1707" s="17" t="s">
        <v>702</v>
      </c>
      <c r="C1707" s="18">
        <f t="shared" si="128"/>
        <v>26554487.23</v>
      </c>
      <c r="D1707" s="18"/>
      <c r="E1707" s="18"/>
      <c r="F1707" s="18"/>
      <c r="G1707" s="18"/>
      <c r="H1707" s="18"/>
      <c r="I1707" s="18"/>
      <c r="J1707" s="18"/>
      <c r="K1707" s="18"/>
      <c r="L1707" s="10"/>
      <c r="M1707" s="18"/>
      <c r="N1707" s="18"/>
      <c r="O1707" s="18"/>
      <c r="P1707" s="18">
        <v>2994300.48</v>
      </c>
      <c r="Q1707" s="18"/>
      <c r="R1707" s="18">
        <v>23560186.75</v>
      </c>
      <c r="S1707" s="18"/>
    </row>
    <row r="1708" spans="1:19" x14ac:dyDescent="0.25">
      <c r="A1708" s="9" t="s">
        <v>406</v>
      </c>
      <c r="B1708" s="17" t="s">
        <v>2008</v>
      </c>
      <c r="C1708" s="18">
        <f t="shared" si="128"/>
        <v>9495227.3399999999</v>
      </c>
      <c r="D1708" s="18">
        <v>193252.08</v>
      </c>
      <c r="E1708" s="18">
        <v>224846.21</v>
      </c>
      <c r="F1708" s="18"/>
      <c r="G1708" s="18"/>
      <c r="H1708" s="18"/>
      <c r="I1708" s="18"/>
      <c r="J1708" s="18"/>
      <c r="K1708" s="18"/>
      <c r="L1708" s="10">
        <v>2</v>
      </c>
      <c r="M1708" s="18">
        <v>9077129.0500000007</v>
      </c>
      <c r="N1708" s="18"/>
      <c r="O1708" s="18"/>
      <c r="P1708" s="18"/>
      <c r="Q1708" s="18"/>
      <c r="R1708" s="18"/>
      <c r="S1708" s="18"/>
    </row>
    <row r="1709" spans="1:19" x14ac:dyDescent="0.25">
      <c r="A1709" s="9" t="s">
        <v>408</v>
      </c>
      <c r="B1709" s="17" t="s">
        <v>704</v>
      </c>
      <c r="C1709" s="18">
        <f t="shared" si="128"/>
        <v>21989821.98</v>
      </c>
      <c r="D1709" s="18"/>
      <c r="E1709" s="18"/>
      <c r="F1709" s="18"/>
      <c r="G1709" s="18">
        <v>4202684.03</v>
      </c>
      <c r="H1709" s="18">
        <v>2145285.94</v>
      </c>
      <c r="I1709" s="18">
        <v>732845.06</v>
      </c>
      <c r="J1709" s="18">
        <v>669143.12</v>
      </c>
      <c r="K1709" s="18"/>
      <c r="L1709" s="10"/>
      <c r="M1709" s="18"/>
      <c r="N1709" s="18"/>
      <c r="O1709" s="18"/>
      <c r="P1709" s="18">
        <v>4085070.73</v>
      </c>
      <c r="Q1709" s="18">
        <v>10154793.1</v>
      </c>
      <c r="R1709" s="18"/>
      <c r="S1709" s="18"/>
    </row>
    <row r="1710" spans="1:19" x14ac:dyDescent="0.25">
      <c r="A1710" s="9" t="s">
        <v>410</v>
      </c>
      <c r="B1710" s="17" t="s">
        <v>2009</v>
      </c>
      <c r="C1710" s="18">
        <f t="shared" si="128"/>
        <v>9476787.5500000007</v>
      </c>
      <c r="D1710" s="18">
        <v>193252.08</v>
      </c>
      <c r="E1710" s="18">
        <v>206406.42</v>
      </c>
      <c r="F1710" s="18"/>
      <c r="G1710" s="18"/>
      <c r="H1710" s="18"/>
      <c r="I1710" s="18"/>
      <c r="J1710" s="18"/>
      <c r="K1710" s="18"/>
      <c r="L1710" s="10">
        <v>2</v>
      </c>
      <c r="M1710" s="18">
        <v>9077129.0500000007</v>
      </c>
      <c r="N1710" s="18"/>
      <c r="O1710" s="18"/>
      <c r="P1710" s="18"/>
      <c r="Q1710" s="18"/>
      <c r="R1710" s="18"/>
      <c r="S1710" s="18"/>
    </row>
    <row r="1711" spans="1:19" x14ac:dyDescent="0.25">
      <c r="A1711" s="9" t="s">
        <v>412</v>
      </c>
      <c r="B1711" s="17" t="s">
        <v>2010</v>
      </c>
      <c r="C1711" s="18">
        <f t="shared" si="128"/>
        <v>11625718.949999999</v>
      </c>
      <c r="D1711" s="18">
        <v>237114.66</v>
      </c>
      <c r="E1711" s="18">
        <v>251231.83</v>
      </c>
      <c r="F1711" s="18"/>
      <c r="G1711" s="18"/>
      <c r="H1711" s="18"/>
      <c r="I1711" s="18"/>
      <c r="J1711" s="18"/>
      <c r="K1711" s="18"/>
      <c r="L1711" s="10">
        <v>2</v>
      </c>
      <c r="M1711" s="18">
        <v>11137372.460000001</v>
      </c>
      <c r="N1711" s="18"/>
      <c r="O1711" s="18"/>
      <c r="P1711" s="18"/>
      <c r="Q1711" s="18"/>
      <c r="R1711" s="18"/>
      <c r="S1711" s="18"/>
    </row>
    <row r="1712" spans="1:19" x14ac:dyDescent="0.25">
      <c r="A1712" s="9" t="s">
        <v>414</v>
      </c>
      <c r="B1712" s="17" t="s">
        <v>2011</v>
      </c>
      <c r="C1712" s="18">
        <f t="shared" si="128"/>
        <v>255289.89</v>
      </c>
      <c r="D1712" s="18"/>
      <c r="E1712" s="18">
        <v>255289.89</v>
      </c>
      <c r="F1712" s="18"/>
      <c r="G1712" s="18"/>
      <c r="H1712" s="18"/>
      <c r="I1712" s="18"/>
      <c r="J1712" s="18"/>
      <c r="K1712" s="18"/>
      <c r="L1712" s="10"/>
      <c r="M1712" s="18"/>
      <c r="N1712" s="18"/>
      <c r="O1712" s="18"/>
      <c r="P1712" s="18"/>
      <c r="Q1712" s="18"/>
      <c r="R1712" s="18"/>
      <c r="S1712" s="18"/>
    </row>
    <row r="1713" spans="1:19" x14ac:dyDescent="0.25">
      <c r="A1713" s="9" t="s">
        <v>416</v>
      </c>
      <c r="B1713" s="17" t="s">
        <v>2012</v>
      </c>
      <c r="C1713" s="18">
        <f t="shared" si="128"/>
        <v>304457.71000000002</v>
      </c>
      <c r="D1713" s="18"/>
      <c r="E1713" s="18">
        <v>304457.71000000002</v>
      </c>
      <c r="F1713" s="18"/>
      <c r="G1713" s="18"/>
      <c r="H1713" s="18"/>
      <c r="I1713" s="18"/>
      <c r="J1713" s="18"/>
      <c r="K1713" s="18"/>
      <c r="L1713" s="10"/>
      <c r="M1713" s="18"/>
      <c r="N1713" s="18"/>
      <c r="O1713" s="18"/>
      <c r="P1713" s="18"/>
      <c r="Q1713" s="18"/>
      <c r="R1713" s="18"/>
      <c r="S1713" s="18"/>
    </row>
    <row r="1714" spans="1:19" x14ac:dyDescent="0.25">
      <c r="A1714" s="9" t="s">
        <v>418</v>
      </c>
      <c r="B1714" s="17" t="s">
        <v>2013</v>
      </c>
      <c r="C1714" s="18">
        <f t="shared" si="128"/>
        <v>17366398.449999999</v>
      </c>
      <c r="D1714" s="18">
        <v>355671.99</v>
      </c>
      <c r="E1714" s="18">
        <v>304667.84000000003</v>
      </c>
      <c r="F1714" s="18"/>
      <c r="G1714" s="18"/>
      <c r="H1714" s="18"/>
      <c r="I1714" s="18"/>
      <c r="J1714" s="18"/>
      <c r="K1714" s="18"/>
      <c r="L1714" s="10">
        <v>3</v>
      </c>
      <c r="M1714" s="18">
        <v>16706058.619999999</v>
      </c>
      <c r="N1714" s="18"/>
      <c r="O1714" s="18"/>
      <c r="P1714" s="18"/>
      <c r="Q1714" s="18"/>
      <c r="R1714" s="18"/>
      <c r="S1714" s="18"/>
    </row>
    <row r="1715" spans="1:19" ht="15" customHeight="1" x14ac:dyDescent="0.25">
      <c r="A1715" s="9" t="s">
        <v>420</v>
      </c>
      <c r="B1715" s="17" t="s">
        <v>2014</v>
      </c>
      <c r="C1715" s="18">
        <f t="shared" si="128"/>
        <v>304667.84000000003</v>
      </c>
      <c r="D1715" s="18">
        <f t="shared" ref="D1715" si="129">ROUNDUP(SUM(F1715+G1715+H1715+I1715+J1715+K1715+M1715+O1715+P1715+Q1715+R1715+S1715)*0.0214,2)</f>
        <v>0</v>
      </c>
      <c r="E1715" s="18">
        <v>304667.84000000003</v>
      </c>
      <c r="F1715" s="18"/>
      <c r="G1715" s="18"/>
      <c r="H1715" s="18"/>
      <c r="I1715" s="18"/>
      <c r="J1715" s="18"/>
      <c r="K1715" s="18"/>
      <c r="L1715" s="10"/>
      <c r="M1715" s="18"/>
      <c r="N1715" s="18"/>
      <c r="O1715" s="18"/>
      <c r="P1715" s="18"/>
      <c r="Q1715" s="18"/>
      <c r="R1715" s="18"/>
      <c r="S1715" s="18"/>
    </row>
    <row r="1716" spans="1:19" ht="15" customHeight="1" x14ac:dyDescent="0.25">
      <c r="A1716" s="9" t="s">
        <v>422</v>
      </c>
      <c r="B1716" s="17" t="s">
        <v>2015</v>
      </c>
      <c r="C1716" s="18">
        <f t="shared" si="128"/>
        <v>23220187.350000001</v>
      </c>
      <c r="D1716" s="18">
        <v>475320.44</v>
      </c>
      <c r="E1716" s="18">
        <v>302919.75</v>
      </c>
      <c r="F1716" s="18"/>
      <c r="G1716" s="18"/>
      <c r="H1716" s="18"/>
      <c r="I1716" s="18"/>
      <c r="J1716" s="18"/>
      <c r="K1716" s="18"/>
      <c r="L1716" s="10">
        <v>6</v>
      </c>
      <c r="M1716" s="18">
        <v>22441947.16</v>
      </c>
      <c r="N1716" s="18"/>
      <c r="O1716" s="18"/>
      <c r="P1716" s="18"/>
      <c r="Q1716" s="18"/>
      <c r="R1716" s="18"/>
      <c r="S1716" s="18"/>
    </row>
    <row r="1717" spans="1:19" x14ac:dyDescent="0.25">
      <c r="A1717" s="9" t="s">
        <v>424</v>
      </c>
      <c r="B1717" s="17" t="s">
        <v>2016</v>
      </c>
      <c r="C1717" s="18">
        <f t="shared" si="128"/>
        <v>23206865.789999999</v>
      </c>
      <c r="D1717" s="18">
        <v>475320.44</v>
      </c>
      <c r="E1717" s="18">
        <v>289598.19</v>
      </c>
      <c r="F1717" s="18"/>
      <c r="G1717" s="18"/>
      <c r="H1717" s="18"/>
      <c r="I1717" s="18"/>
      <c r="J1717" s="18"/>
      <c r="K1717" s="18"/>
      <c r="L1717" s="10">
        <v>6</v>
      </c>
      <c r="M1717" s="18">
        <v>22441947.16</v>
      </c>
      <c r="N1717" s="18"/>
      <c r="O1717" s="18"/>
      <c r="P1717" s="18"/>
      <c r="Q1717" s="18"/>
      <c r="R1717" s="18"/>
      <c r="S1717" s="18"/>
    </row>
    <row r="1718" spans="1:19" x14ac:dyDescent="0.25">
      <c r="A1718" s="9" t="s">
        <v>426</v>
      </c>
      <c r="B1718" s="17" t="s">
        <v>2017</v>
      </c>
      <c r="C1718" s="18">
        <f t="shared" si="128"/>
        <v>23217088.66</v>
      </c>
      <c r="D1718" s="18">
        <v>475320.43999999994</v>
      </c>
      <c r="E1718" s="18">
        <v>299821.06</v>
      </c>
      <c r="F1718" s="18"/>
      <c r="G1718" s="18"/>
      <c r="H1718" s="18"/>
      <c r="I1718" s="18"/>
      <c r="J1718" s="18"/>
      <c r="K1718" s="18"/>
      <c r="L1718" s="10">
        <v>6</v>
      </c>
      <c r="M1718" s="18">
        <v>22441947.16</v>
      </c>
      <c r="N1718" s="18"/>
      <c r="O1718" s="18"/>
      <c r="P1718" s="18"/>
      <c r="Q1718" s="18"/>
      <c r="R1718" s="18"/>
      <c r="S1718" s="18"/>
    </row>
    <row r="1719" spans="1:19" x14ac:dyDescent="0.25">
      <c r="A1719" s="9" t="s">
        <v>428</v>
      </c>
      <c r="B1719" s="17" t="s">
        <v>2018</v>
      </c>
      <c r="C1719" s="18">
        <f t="shared" si="128"/>
        <v>33769065.93</v>
      </c>
      <c r="D1719" s="18">
        <v>697378.07000000007</v>
      </c>
      <c r="E1719" s="18">
        <v>315554.90000000002</v>
      </c>
      <c r="F1719" s="18"/>
      <c r="G1719" s="18"/>
      <c r="H1719" s="18"/>
      <c r="I1719" s="18"/>
      <c r="J1719" s="18"/>
      <c r="K1719" s="18"/>
      <c r="L1719" s="10">
        <v>6</v>
      </c>
      <c r="M1719" s="18">
        <v>32756132.960000001</v>
      </c>
      <c r="N1719" s="18"/>
      <c r="O1719" s="18"/>
      <c r="P1719" s="18"/>
      <c r="Q1719" s="18"/>
      <c r="R1719" s="18"/>
      <c r="S1719" s="18"/>
    </row>
    <row r="1720" spans="1:19" x14ac:dyDescent="0.25">
      <c r="A1720" s="9" t="s">
        <v>430</v>
      </c>
      <c r="B1720" s="17" t="s">
        <v>2019</v>
      </c>
      <c r="C1720" s="18">
        <f t="shared" si="128"/>
        <v>11603413.880000001</v>
      </c>
      <c r="D1720" s="18">
        <v>236410.32</v>
      </c>
      <c r="E1720" s="18">
        <v>262714.26</v>
      </c>
      <c r="F1720" s="18"/>
      <c r="G1720" s="18"/>
      <c r="H1720" s="18"/>
      <c r="I1720" s="18"/>
      <c r="J1720" s="18"/>
      <c r="K1720" s="18"/>
      <c r="L1720" s="10">
        <v>4</v>
      </c>
      <c r="M1720" s="18">
        <v>11104289.300000001</v>
      </c>
      <c r="N1720" s="18"/>
      <c r="O1720" s="18"/>
      <c r="P1720" s="18"/>
      <c r="Q1720" s="18"/>
      <c r="R1720" s="18"/>
      <c r="S1720" s="18"/>
    </row>
    <row r="1721" spans="1:19" ht="15" customHeight="1" x14ac:dyDescent="0.25">
      <c r="A1721" s="9" t="s">
        <v>432</v>
      </c>
      <c r="B1721" s="17" t="s">
        <v>2020</v>
      </c>
      <c r="C1721" s="18">
        <f t="shared" si="128"/>
        <v>33768902.590000004</v>
      </c>
      <c r="D1721" s="18">
        <v>697378.07000000007</v>
      </c>
      <c r="E1721" s="18">
        <v>315391.56</v>
      </c>
      <c r="F1721" s="18"/>
      <c r="G1721" s="18"/>
      <c r="H1721" s="18"/>
      <c r="I1721" s="18"/>
      <c r="J1721" s="18"/>
      <c r="K1721" s="18"/>
      <c r="L1721" s="10">
        <v>6</v>
      </c>
      <c r="M1721" s="18">
        <v>32756132.960000001</v>
      </c>
      <c r="N1721" s="18"/>
      <c r="O1721" s="18"/>
      <c r="P1721" s="18"/>
      <c r="Q1721" s="18"/>
      <c r="R1721" s="18"/>
      <c r="S1721" s="18"/>
    </row>
    <row r="1722" spans="1:19" ht="15" customHeight="1" x14ac:dyDescent="0.25">
      <c r="A1722" s="9" t="s">
        <v>434</v>
      </c>
      <c r="B1722" s="17" t="s">
        <v>2021</v>
      </c>
      <c r="C1722" s="18">
        <f t="shared" ref="C1722:C1732" si="130">ROUNDUP(SUM(D1722+E1722+F1722+G1722+H1722+I1722+J1722+K1722+M1722+O1722+P1722+Q1722+R1722+S1722),2)</f>
        <v>4804972.5599999996</v>
      </c>
      <c r="D1722" s="18">
        <v>96126.8</v>
      </c>
      <c r="E1722" s="18">
        <v>170281.23</v>
      </c>
      <c r="F1722" s="18"/>
      <c r="G1722" s="18"/>
      <c r="H1722" s="18"/>
      <c r="I1722" s="18"/>
      <c r="J1722" s="18"/>
      <c r="K1722" s="18"/>
      <c r="L1722" s="10">
        <v>1</v>
      </c>
      <c r="M1722" s="18">
        <v>4538564.53</v>
      </c>
      <c r="N1722" s="18"/>
      <c r="O1722" s="18"/>
      <c r="P1722" s="18"/>
      <c r="Q1722" s="18"/>
      <c r="R1722" s="18"/>
      <c r="S1722" s="18"/>
    </row>
    <row r="1723" spans="1:19" x14ac:dyDescent="0.25">
      <c r="A1723" s="9" t="s">
        <v>436</v>
      </c>
      <c r="B1723" s="17" t="s">
        <v>2022</v>
      </c>
      <c r="C1723" s="18">
        <f t="shared" si="130"/>
        <v>23219911.16</v>
      </c>
      <c r="D1723" s="18">
        <v>475320.44</v>
      </c>
      <c r="E1723" s="18">
        <v>302643.56</v>
      </c>
      <c r="F1723" s="18"/>
      <c r="G1723" s="18"/>
      <c r="H1723" s="18"/>
      <c r="I1723" s="18"/>
      <c r="J1723" s="18"/>
      <c r="K1723" s="18"/>
      <c r="L1723" s="10">
        <v>6</v>
      </c>
      <c r="M1723" s="18">
        <v>22441947.16</v>
      </c>
      <c r="N1723" s="18"/>
      <c r="O1723" s="18"/>
      <c r="P1723" s="18"/>
      <c r="Q1723" s="18"/>
      <c r="R1723" s="18"/>
      <c r="S1723" s="18"/>
    </row>
    <row r="1724" spans="1:19" x14ac:dyDescent="0.25">
      <c r="A1724" s="9" t="s">
        <v>438</v>
      </c>
      <c r="B1724" s="17" t="s">
        <v>2023</v>
      </c>
      <c r="C1724" s="18">
        <f t="shared" si="130"/>
        <v>11919358.810000001</v>
      </c>
      <c r="D1724" s="18">
        <v>241978.55</v>
      </c>
      <c r="E1724" s="18">
        <v>311548.92</v>
      </c>
      <c r="F1724" s="18"/>
      <c r="G1724" s="18"/>
      <c r="H1724" s="18"/>
      <c r="I1724" s="18"/>
      <c r="J1724" s="18"/>
      <c r="K1724" s="18"/>
      <c r="L1724" s="10">
        <v>2</v>
      </c>
      <c r="M1724" s="18">
        <v>11365831.34</v>
      </c>
      <c r="N1724" s="18"/>
      <c r="O1724" s="18"/>
      <c r="P1724" s="18"/>
      <c r="Q1724" s="18"/>
      <c r="R1724" s="18"/>
      <c r="S1724" s="18"/>
    </row>
    <row r="1725" spans="1:19" x14ac:dyDescent="0.25">
      <c r="A1725" s="9" t="s">
        <v>440</v>
      </c>
      <c r="B1725" s="17" t="s">
        <v>2024</v>
      </c>
      <c r="C1725" s="18">
        <f t="shared" si="130"/>
        <v>23206368.59</v>
      </c>
      <c r="D1725" s="18">
        <v>475320.44</v>
      </c>
      <c r="E1725" s="18">
        <v>289100.99</v>
      </c>
      <c r="F1725" s="18"/>
      <c r="G1725" s="18"/>
      <c r="H1725" s="18"/>
      <c r="I1725" s="18"/>
      <c r="J1725" s="18"/>
      <c r="K1725" s="18"/>
      <c r="L1725" s="10">
        <v>6</v>
      </c>
      <c r="M1725" s="18">
        <v>22441947.16</v>
      </c>
      <c r="N1725" s="18"/>
      <c r="O1725" s="18"/>
      <c r="P1725" s="18"/>
      <c r="Q1725" s="18"/>
      <c r="R1725" s="18"/>
      <c r="S1725" s="18"/>
    </row>
    <row r="1726" spans="1:19" x14ac:dyDescent="0.25">
      <c r="A1726" s="9" t="s">
        <v>442</v>
      </c>
      <c r="B1726" s="17" t="s">
        <v>2025</v>
      </c>
      <c r="C1726" s="18">
        <f t="shared" si="130"/>
        <v>28172999.649999999</v>
      </c>
      <c r="D1726" s="18">
        <v>579756.23</v>
      </c>
      <c r="E1726" s="18">
        <v>361856.28</v>
      </c>
      <c r="F1726" s="18"/>
      <c r="G1726" s="18"/>
      <c r="H1726" s="18"/>
      <c r="I1726" s="18"/>
      <c r="J1726" s="18"/>
      <c r="K1726" s="18"/>
      <c r="L1726" s="10">
        <v>6</v>
      </c>
      <c r="M1726" s="18">
        <v>27231387.140000001</v>
      </c>
      <c r="N1726" s="18"/>
      <c r="O1726" s="18"/>
      <c r="P1726" s="18"/>
      <c r="Q1726" s="18"/>
      <c r="R1726" s="18"/>
      <c r="S1726" s="18"/>
    </row>
    <row r="1727" spans="1:19" x14ac:dyDescent="0.25">
      <c r="A1727" s="9" t="s">
        <v>444</v>
      </c>
      <c r="B1727" s="17" t="s">
        <v>2026</v>
      </c>
      <c r="C1727" s="18">
        <f t="shared" si="130"/>
        <v>28174794.280000001</v>
      </c>
      <c r="D1727" s="18">
        <v>579756.23</v>
      </c>
      <c r="E1727" s="18">
        <v>363650.91</v>
      </c>
      <c r="F1727" s="18"/>
      <c r="G1727" s="18"/>
      <c r="H1727" s="18"/>
      <c r="I1727" s="18"/>
      <c r="J1727" s="18"/>
      <c r="K1727" s="18"/>
      <c r="L1727" s="10">
        <v>6</v>
      </c>
      <c r="M1727" s="18">
        <v>27231387.140000001</v>
      </c>
      <c r="N1727" s="18"/>
      <c r="O1727" s="18"/>
      <c r="P1727" s="18"/>
      <c r="Q1727" s="18"/>
      <c r="R1727" s="18"/>
      <c r="S1727" s="18"/>
    </row>
    <row r="1728" spans="1:19" x14ac:dyDescent="0.25">
      <c r="A1728" s="9" t="s">
        <v>446</v>
      </c>
      <c r="B1728" s="17" t="s">
        <v>2027</v>
      </c>
      <c r="C1728" s="18">
        <f t="shared" si="130"/>
        <v>9477568.0299999993</v>
      </c>
      <c r="D1728" s="18">
        <v>193252.08</v>
      </c>
      <c r="E1728" s="18">
        <v>207186.9</v>
      </c>
      <c r="F1728" s="18"/>
      <c r="G1728" s="18"/>
      <c r="H1728" s="18"/>
      <c r="I1728" s="18"/>
      <c r="J1728" s="18"/>
      <c r="K1728" s="18"/>
      <c r="L1728" s="10">
        <v>2</v>
      </c>
      <c r="M1728" s="18">
        <v>9077129.0500000007</v>
      </c>
      <c r="N1728" s="18"/>
      <c r="O1728" s="18"/>
      <c r="P1728" s="18"/>
      <c r="Q1728" s="18"/>
      <c r="R1728" s="18"/>
      <c r="S1728" s="18"/>
    </row>
    <row r="1729" spans="1:19" x14ac:dyDescent="0.25">
      <c r="A1729" s="9" t="s">
        <v>448</v>
      </c>
      <c r="B1729" s="17" t="s">
        <v>2028</v>
      </c>
      <c r="C1729" s="18">
        <f t="shared" si="130"/>
        <v>9480031.2400000002</v>
      </c>
      <c r="D1729" s="18">
        <v>193252.08</v>
      </c>
      <c r="E1729" s="18">
        <v>209650.11</v>
      </c>
      <c r="F1729" s="18"/>
      <c r="G1729" s="18"/>
      <c r="H1729" s="18"/>
      <c r="I1729" s="18"/>
      <c r="J1729" s="18"/>
      <c r="K1729" s="18"/>
      <c r="L1729" s="10">
        <v>2</v>
      </c>
      <c r="M1729" s="18">
        <v>9077129.0500000007</v>
      </c>
      <c r="N1729" s="18"/>
      <c r="O1729" s="18"/>
      <c r="P1729" s="18"/>
      <c r="Q1729" s="18"/>
      <c r="R1729" s="18"/>
      <c r="S1729" s="18"/>
    </row>
    <row r="1730" spans="1:19" x14ac:dyDescent="0.25">
      <c r="A1730" s="9" t="s">
        <v>450</v>
      </c>
      <c r="B1730" s="17" t="s">
        <v>754</v>
      </c>
      <c r="C1730" s="18">
        <f t="shared" si="130"/>
        <v>9695214.5099999998</v>
      </c>
      <c r="D1730" s="18"/>
      <c r="E1730" s="18"/>
      <c r="F1730" s="18">
        <v>3720550</v>
      </c>
      <c r="G1730" s="18"/>
      <c r="H1730" s="18"/>
      <c r="I1730" s="18"/>
      <c r="J1730" s="18">
        <v>759180.56</v>
      </c>
      <c r="K1730" s="18"/>
      <c r="L1730" s="10"/>
      <c r="M1730" s="18"/>
      <c r="N1730" s="18"/>
      <c r="O1730" s="18"/>
      <c r="P1730" s="18">
        <v>5215483.95</v>
      </c>
      <c r="Q1730" s="18"/>
      <c r="R1730" s="18"/>
      <c r="S1730" s="18"/>
    </row>
    <row r="1731" spans="1:19" x14ac:dyDescent="0.25">
      <c r="A1731" s="9" t="s">
        <v>452</v>
      </c>
      <c r="B1731" s="17" t="s">
        <v>2029</v>
      </c>
      <c r="C1731" s="18">
        <f t="shared" si="130"/>
        <v>28172999.66</v>
      </c>
      <c r="D1731" s="18">
        <v>579756.23</v>
      </c>
      <c r="E1731" s="18">
        <v>361856.29</v>
      </c>
      <c r="F1731" s="18"/>
      <c r="G1731" s="18"/>
      <c r="H1731" s="18"/>
      <c r="I1731" s="18"/>
      <c r="J1731" s="18"/>
      <c r="K1731" s="18"/>
      <c r="L1731" s="10">
        <v>6</v>
      </c>
      <c r="M1731" s="18">
        <v>27231387.140000001</v>
      </c>
      <c r="N1731" s="18"/>
      <c r="O1731" s="18"/>
      <c r="P1731" s="18"/>
      <c r="Q1731" s="18"/>
      <c r="R1731" s="18"/>
      <c r="S1731" s="18"/>
    </row>
    <row r="1732" spans="1:19" x14ac:dyDescent="0.25">
      <c r="A1732" s="9" t="s">
        <v>454</v>
      </c>
      <c r="B1732" s="17" t="s">
        <v>2030</v>
      </c>
      <c r="C1732" s="18">
        <f t="shared" si="130"/>
        <v>28172999.649999999</v>
      </c>
      <c r="D1732" s="18">
        <v>579756.23</v>
      </c>
      <c r="E1732" s="18">
        <v>361856.28</v>
      </c>
      <c r="F1732" s="18"/>
      <c r="G1732" s="18"/>
      <c r="H1732" s="18"/>
      <c r="I1732" s="18"/>
      <c r="J1732" s="18"/>
      <c r="K1732" s="18"/>
      <c r="L1732" s="10">
        <v>6</v>
      </c>
      <c r="M1732" s="18">
        <v>27231387.140000001</v>
      </c>
      <c r="N1732" s="18"/>
      <c r="O1732" s="18"/>
      <c r="P1732" s="18"/>
      <c r="Q1732" s="18"/>
      <c r="R1732" s="18"/>
      <c r="S1732" s="18"/>
    </row>
    <row r="1733" spans="1:19" x14ac:dyDescent="0.25">
      <c r="A1733" s="33"/>
      <c r="B1733" s="33" t="s">
        <v>2031</v>
      </c>
      <c r="C1733" s="18">
        <f>ROUND(D1733+E1733+F1733+G1733+H1733+I1733+J1733+K1733+M1733+O1733+P1733+Q1733+R1733+S1733,2)</f>
        <v>1945252185.6700001</v>
      </c>
      <c r="D1733" s="18">
        <f t="shared" ref="D1733:S1733" si="131">SUM(D1626:D1732)</f>
        <v>24525367.610000011</v>
      </c>
      <c r="E1733" s="18">
        <f t="shared" si="131"/>
        <v>21996242.109999999</v>
      </c>
      <c r="F1733" s="18">
        <f t="shared" si="131"/>
        <v>54706163.600000001</v>
      </c>
      <c r="G1733" s="18">
        <f t="shared" si="131"/>
        <v>96106867.420000002</v>
      </c>
      <c r="H1733" s="18">
        <f t="shared" si="131"/>
        <v>32379312.290000003</v>
      </c>
      <c r="I1733" s="18">
        <f t="shared" si="131"/>
        <v>11065475</v>
      </c>
      <c r="J1733" s="18">
        <f t="shared" si="131"/>
        <v>25066797.709999997</v>
      </c>
      <c r="K1733" s="18">
        <f t="shared" si="131"/>
        <v>0</v>
      </c>
      <c r="L1733" s="10">
        <f t="shared" si="131"/>
        <v>237</v>
      </c>
      <c r="M1733" s="18">
        <f t="shared" si="131"/>
        <v>1145967424.7799997</v>
      </c>
      <c r="N1733" s="18" t="s">
        <v>42</v>
      </c>
      <c r="O1733" s="18">
        <f t="shared" si="131"/>
        <v>179614246.66</v>
      </c>
      <c r="P1733" s="18">
        <f t="shared" si="131"/>
        <v>54410593.529999994</v>
      </c>
      <c r="Q1733" s="18">
        <f t="shared" si="131"/>
        <v>60091765.509999998</v>
      </c>
      <c r="R1733" s="18">
        <f t="shared" si="131"/>
        <v>239321929.44999999</v>
      </c>
      <c r="S1733" s="18">
        <f t="shared" si="131"/>
        <v>0</v>
      </c>
    </row>
    <row r="1734" spans="1:19" x14ac:dyDescent="0.25">
      <c r="A1734" s="34"/>
      <c r="B1734" s="34" t="s">
        <v>760</v>
      </c>
      <c r="C1734" s="18"/>
      <c r="D1734" s="13"/>
      <c r="E1734" s="13"/>
      <c r="F1734" s="13"/>
      <c r="G1734" s="13"/>
      <c r="H1734" s="13"/>
      <c r="I1734" s="13"/>
      <c r="J1734" s="13"/>
      <c r="K1734" s="13"/>
      <c r="L1734" s="14"/>
      <c r="M1734" s="13"/>
      <c r="N1734" s="14"/>
      <c r="O1734" s="13"/>
      <c r="P1734" s="13"/>
      <c r="Q1734" s="13"/>
      <c r="R1734" s="13"/>
      <c r="S1734" s="13"/>
    </row>
    <row r="1735" spans="1:19" x14ac:dyDescent="0.25">
      <c r="A1735" s="9" t="s">
        <v>456</v>
      </c>
      <c r="B1735" s="17" t="s">
        <v>764</v>
      </c>
      <c r="C1735" s="18">
        <f t="shared" ref="C1735:C1747" si="132">ROUNDUP(SUM(D1735+E1735+F1735+G1735+H1735+I1735+J1735+K1735+M1735+O1735+P1735+Q1735+R1735+S1735),2)</f>
        <v>2491632.17</v>
      </c>
      <c r="D1735" s="18"/>
      <c r="E1735" s="18"/>
      <c r="F1735" s="18"/>
      <c r="G1735" s="18">
        <v>2491632.17</v>
      </c>
      <c r="H1735" s="18"/>
      <c r="I1735" s="18"/>
      <c r="J1735" s="18"/>
      <c r="K1735" s="18"/>
      <c r="L1735" s="10"/>
      <c r="M1735" s="18"/>
      <c r="N1735" s="10"/>
      <c r="O1735" s="18"/>
      <c r="P1735" s="18"/>
      <c r="Q1735" s="18"/>
      <c r="R1735" s="18"/>
      <c r="S1735" s="18"/>
    </row>
    <row r="1736" spans="1:19" x14ac:dyDescent="0.25">
      <c r="A1736" s="9" t="s">
        <v>458</v>
      </c>
      <c r="B1736" s="17" t="s">
        <v>766</v>
      </c>
      <c r="C1736" s="18">
        <f t="shared" si="132"/>
        <v>3290695.2</v>
      </c>
      <c r="D1736" s="18"/>
      <c r="E1736" s="18"/>
      <c r="F1736" s="18"/>
      <c r="G1736" s="18">
        <v>3290695.2</v>
      </c>
      <c r="H1736" s="18"/>
      <c r="I1736" s="18"/>
      <c r="J1736" s="18"/>
      <c r="K1736" s="18"/>
      <c r="L1736" s="10"/>
      <c r="M1736" s="18"/>
      <c r="N1736" s="10"/>
      <c r="O1736" s="18"/>
      <c r="P1736" s="18"/>
      <c r="Q1736" s="18"/>
      <c r="R1736" s="18"/>
      <c r="S1736" s="18"/>
    </row>
    <row r="1737" spans="1:19" x14ac:dyDescent="0.25">
      <c r="A1737" s="9" t="s">
        <v>460</v>
      </c>
      <c r="B1737" s="17" t="s">
        <v>768</v>
      </c>
      <c r="C1737" s="18">
        <f t="shared" si="132"/>
        <v>9658273.8900000006</v>
      </c>
      <c r="D1737" s="18"/>
      <c r="E1737" s="18"/>
      <c r="F1737" s="18"/>
      <c r="G1737" s="18"/>
      <c r="H1737" s="18"/>
      <c r="I1737" s="18"/>
      <c r="J1737" s="18">
        <v>6141727.7799999993</v>
      </c>
      <c r="K1737" s="18"/>
      <c r="L1737" s="10"/>
      <c r="M1737" s="18"/>
      <c r="N1737" s="10"/>
      <c r="O1737" s="18"/>
      <c r="P1737" s="18">
        <v>3516546.11</v>
      </c>
      <c r="Q1737" s="18"/>
      <c r="R1737" s="18"/>
      <c r="S1737" s="18"/>
    </row>
    <row r="1738" spans="1:19" x14ac:dyDescent="0.25">
      <c r="A1738" s="9" t="s">
        <v>462</v>
      </c>
      <c r="B1738" s="17" t="s">
        <v>770</v>
      </c>
      <c r="C1738" s="18">
        <f>ROUNDUP(SUM(D1738+E1738+F1738+G1738+H1738+I1738+J1738+K1738+M1738+O1738+P1738+Q1738+R1738+S1738),2)</f>
        <v>35074821.670000002</v>
      </c>
      <c r="D1738" s="18"/>
      <c r="E1738" s="18"/>
      <c r="F1738" s="18"/>
      <c r="G1738" s="18">
        <v>14475703.74</v>
      </c>
      <c r="H1738" s="18">
        <v>9822662.1999999993</v>
      </c>
      <c r="I1738" s="18">
        <v>3756331.9799999995</v>
      </c>
      <c r="J1738" s="18">
        <v>2902811.32</v>
      </c>
      <c r="K1738" s="18"/>
      <c r="L1738" s="10"/>
      <c r="M1738" s="18"/>
      <c r="N1738" s="10"/>
      <c r="O1738" s="18"/>
      <c r="P1738" s="18">
        <v>4117312.43</v>
      </c>
      <c r="Q1738" s="18"/>
      <c r="R1738" s="18"/>
      <c r="S1738" s="18"/>
    </row>
    <row r="1739" spans="1:19" x14ac:dyDescent="0.25">
      <c r="A1739" s="9" t="s">
        <v>464</v>
      </c>
      <c r="B1739" s="17" t="s">
        <v>772</v>
      </c>
      <c r="C1739" s="18">
        <f t="shared" si="132"/>
        <v>3119698.95</v>
      </c>
      <c r="D1739" s="18"/>
      <c r="E1739" s="18"/>
      <c r="F1739" s="18"/>
      <c r="G1739" s="18"/>
      <c r="H1739" s="18"/>
      <c r="I1739" s="18"/>
      <c r="J1739" s="18"/>
      <c r="K1739" s="18"/>
      <c r="L1739" s="10"/>
      <c r="M1739" s="18"/>
      <c r="N1739" s="10"/>
      <c r="O1739" s="18"/>
      <c r="P1739" s="18">
        <v>3119698.9499999997</v>
      </c>
      <c r="Q1739" s="18"/>
      <c r="R1739" s="18"/>
      <c r="S1739" s="18"/>
    </row>
    <row r="1740" spans="1:19" x14ac:dyDescent="0.25">
      <c r="A1740" s="9" t="s">
        <v>466</v>
      </c>
      <c r="B1740" s="17" t="s">
        <v>774</v>
      </c>
      <c r="C1740" s="18">
        <f t="shared" si="132"/>
        <v>13248963.880000001</v>
      </c>
      <c r="D1740" s="18"/>
      <c r="E1740" s="18"/>
      <c r="F1740" s="18">
        <v>2999755.41</v>
      </c>
      <c r="G1740" s="18">
        <v>6233828.9399999995</v>
      </c>
      <c r="H1740" s="18">
        <v>2885223.85</v>
      </c>
      <c r="I1740" s="18">
        <v>1130155.68</v>
      </c>
      <c r="J1740" s="18"/>
      <c r="K1740" s="18"/>
      <c r="L1740" s="10"/>
      <c r="M1740" s="18"/>
      <c r="N1740" s="10"/>
      <c r="O1740" s="18"/>
      <c r="P1740" s="18"/>
      <c r="Q1740" s="18"/>
      <c r="R1740" s="18"/>
      <c r="S1740" s="18"/>
    </row>
    <row r="1741" spans="1:19" x14ac:dyDescent="0.25">
      <c r="A1741" s="9" t="s">
        <v>468</v>
      </c>
      <c r="B1741" s="17" t="s">
        <v>776</v>
      </c>
      <c r="C1741" s="18">
        <f t="shared" si="132"/>
        <v>12312436.550000001</v>
      </c>
      <c r="D1741" s="18"/>
      <c r="E1741" s="18"/>
      <c r="F1741" s="18">
        <v>1965074.62</v>
      </c>
      <c r="G1741" s="18">
        <v>2210943.27</v>
      </c>
      <c r="H1741" s="18">
        <v>2535031.8199999998</v>
      </c>
      <c r="I1741" s="18">
        <v>937456.09</v>
      </c>
      <c r="J1741" s="18">
        <v>1547806.2</v>
      </c>
      <c r="K1741" s="18"/>
      <c r="L1741" s="10"/>
      <c r="M1741" s="18"/>
      <c r="N1741" s="10"/>
      <c r="O1741" s="18"/>
      <c r="P1741" s="18">
        <v>3116124.55</v>
      </c>
      <c r="Q1741" s="18"/>
      <c r="R1741" s="18"/>
      <c r="S1741" s="18"/>
    </row>
    <row r="1742" spans="1:19" x14ac:dyDescent="0.25">
      <c r="A1742" s="9" t="s">
        <v>470</v>
      </c>
      <c r="B1742" s="17" t="s">
        <v>778</v>
      </c>
      <c r="C1742" s="18">
        <f t="shared" si="132"/>
        <v>17976597.719999999</v>
      </c>
      <c r="D1742" s="18"/>
      <c r="E1742" s="18"/>
      <c r="F1742" s="18">
        <v>2893939.22</v>
      </c>
      <c r="G1742" s="18">
        <v>5418141.9399999995</v>
      </c>
      <c r="H1742" s="18">
        <v>2926396.63</v>
      </c>
      <c r="I1742" s="18">
        <v>1058131.53</v>
      </c>
      <c r="J1742" s="18">
        <v>2403045.56</v>
      </c>
      <c r="K1742" s="18"/>
      <c r="L1742" s="10"/>
      <c r="M1742" s="18"/>
      <c r="N1742" s="10"/>
      <c r="O1742" s="18"/>
      <c r="P1742" s="18">
        <v>3276942.84</v>
      </c>
      <c r="Q1742" s="18"/>
      <c r="R1742" s="18"/>
      <c r="S1742" s="18"/>
    </row>
    <row r="1743" spans="1:19" x14ac:dyDescent="0.25">
      <c r="A1743" s="9" t="s">
        <v>472</v>
      </c>
      <c r="B1743" s="17" t="s">
        <v>780</v>
      </c>
      <c r="C1743" s="18">
        <f t="shared" si="132"/>
        <v>3359814.78</v>
      </c>
      <c r="D1743" s="18"/>
      <c r="E1743" s="18"/>
      <c r="F1743" s="18"/>
      <c r="G1743" s="18"/>
      <c r="H1743" s="18">
        <v>2313965.96</v>
      </c>
      <c r="I1743" s="18">
        <v>1045848.8200000001</v>
      </c>
      <c r="J1743" s="18"/>
      <c r="K1743" s="18"/>
      <c r="L1743" s="10"/>
      <c r="M1743" s="18"/>
      <c r="N1743" s="10"/>
      <c r="O1743" s="18"/>
      <c r="P1743" s="18"/>
      <c r="Q1743" s="18"/>
      <c r="R1743" s="18"/>
      <c r="S1743" s="18"/>
    </row>
    <row r="1744" spans="1:19" x14ac:dyDescent="0.25">
      <c r="A1744" s="9" t="s">
        <v>474</v>
      </c>
      <c r="B1744" s="17" t="s">
        <v>782</v>
      </c>
      <c r="C1744" s="18">
        <f t="shared" si="132"/>
        <v>17450497.5</v>
      </c>
      <c r="D1744" s="18"/>
      <c r="E1744" s="18"/>
      <c r="F1744" s="18">
        <v>2741183.48</v>
      </c>
      <c r="G1744" s="18"/>
      <c r="H1744" s="18">
        <v>6143025</v>
      </c>
      <c r="I1744" s="18">
        <v>2549731.9699999997</v>
      </c>
      <c r="J1744" s="18">
        <v>3302600.83</v>
      </c>
      <c r="K1744" s="18"/>
      <c r="L1744" s="10"/>
      <c r="M1744" s="18"/>
      <c r="N1744" s="10"/>
      <c r="O1744" s="18"/>
      <c r="P1744" s="18">
        <v>2713956.22</v>
      </c>
      <c r="Q1744" s="18"/>
      <c r="R1744" s="18"/>
      <c r="S1744" s="18"/>
    </row>
    <row r="1745" spans="1:19" x14ac:dyDescent="0.25">
      <c r="A1745" s="9" t="s">
        <v>476</v>
      </c>
      <c r="B1745" s="17" t="s">
        <v>784</v>
      </c>
      <c r="C1745" s="18">
        <f t="shared" si="132"/>
        <v>11268272.300000001</v>
      </c>
      <c r="D1745" s="18"/>
      <c r="E1745" s="18"/>
      <c r="F1745" s="18"/>
      <c r="G1745" s="18">
        <v>5240588.57</v>
      </c>
      <c r="H1745" s="18"/>
      <c r="I1745" s="18"/>
      <c r="J1745" s="18">
        <v>2913249.76</v>
      </c>
      <c r="K1745" s="18"/>
      <c r="L1745" s="10"/>
      <c r="M1745" s="18"/>
      <c r="N1745" s="10"/>
      <c r="O1745" s="18"/>
      <c r="P1745" s="18">
        <v>3114433.97</v>
      </c>
      <c r="Q1745" s="18"/>
      <c r="R1745" s="18"/>
      <c r="S1745" s="18"/>
    </row>
    <row r="1746" spans="1:19" x14ac:dyDescent="0.25">
      <c r="A1746" s="9" t="s">
        <v>478</v>
      </c>
      <c r="B1746" s="50" t="s">
        <v>788</v>
      </c>
      <c r="C1746" s="18">
        <f t="shared" si="132"/>
        <v>16173834.640000001</v>
      </c>
      <c r="D1746" s="18"/>
      <c r="E1746" s="18"/>
      <c r="F1746" s="18"/>
      <c r="G1746" s="18">
        <v>8439203.2699999996</v>
      </c>
      <c r="H1746" s="18">
        <v>5417458.9500000002</v>
      </c>
      <c r="I1746" s="18">
        <v>2317172.42</v>
      </c>
      <c r="J1746" s="18"/>
      <c r="K1746" s="18"/>
      <c r="L1746" s="10"/>
      <c r="M1746" s="18"/>
      <c r="N1746" s="10"/>
      <c r="O1746" s="18"/>
      <c r="P1746" s="18"/>
      <c r="Q1746" s="18"/>
      <c r="R1746" s="18"/>
      <c r="S1746" s="18"/>
    </row>
    <row r="1747" spans="1:19" x14ac:dyDescent="0.25">
      <c r="A1747" s="9" t="s">
        <v>481</v>
      </c>
      <c r="B1747" s="17" t="s">
        <v>786</v>
      </c>
      <c r="C1747" s="18">
        <f t="shared" si="132"/>
        <v>4424481.51</v>
      </c>
      <c r="D1747" s="18"/>
      <c r="E1747" s="18"/>
      <c r="F1747" s="18"/>
      <c r="G1747" s="18"/>
      <c r="H1747" s="18">
        <v>2116733.9900000002</v>
      </c>
      <c r="I1747" s="18">
        <v>1002965.09</v>
      </c>
      <c r="J1747" s="18">
        <v>1304782.43</v>
      </c>
      <c r="K1747" s="18"/>
      <c r="L1747" s="10"/>
      <c r="M1747" s="18"/>
      <c r="N1747" s="10"/>
      <c r="O1747" s="18"/>
      <c r="P1747" s="18"/>
      <c r="Q1747" s="18"/>
      <c r="R1747" s="18"/>
      <c r="S1747" s="18"/>
    </row>
    <row r="1748" spans="1:19" ht="30" x14ac:dyDescent="0.25">
      <c r="A1748" s="33"/>
      <c r="B1748" s="33" t="s">
        <v>2032</v>
      </c>
      <c r="C1748" s="18">
        <f>ROUND(D1748+E1748+F1748+G1748+H1748+I1748+J1748+K1748+M1748+O1748+P1748+Q1748+R1748+S1748,2)</f>
        <v>149850020.75999999</v>
      </c>
      <c r="D1748" s="18">
        <f t="shared" ref="D1748:S1748" si="133">SUM(D1735:D1747)</f>
        <v>0</v>
      </c>
      <c r="E1748" s="18">
        <f t="shared" si="133"/>
        <v>0</v>
      </c>
      <c r="F1748" s="18">
        <f t="shared" si="133"/>
        <v>10599952.73</v>
      </c>
      <c r="G1748" s="18">
        <f t="shared" si="133"/>
        <v>47800737.099999994</v>
      </c>
      <c r="H1748" s="18">
        <f t="shared" si="133"/>
        <v>34160498.399999999</v>
      </c>
      <c r="I1748" s="18">
        <f t="shared" si="133"/>
        <v>13797793.58</v>
      </c>
      <c r="J1748" s="18">
        <f t="shared" si="133"/>
        <v>20516023.879999999</v>
      </c>
      <c r="K1748" s="18">
        <f t="shared" si="133"/>
        <v>0</v>
      </c>
      <c r="L1748" s="10">
        <f t="shared" si="133"/>
        <v>0</v>
      </c>
      <c r="M1748" s="18">
        <f t="shared" si="133"/>
        <v>0</v>
      </c>
      <c r="N1748" s="18" t="s">
        <v>42</v>
      </c>
      <c r="O1748" s="18">
        <f t="shared" si="133"/>
        <v>0</v>
      </c>
      <c r="P1748" s="18">
        <f t="shared" si="133"/>
        <v>22975015.069999997</v>
      </c>
      <c r="Q1748" s="18">
        <f t="shared" si="133"/>
        <v>0</v>
      </c>
      <c r="R1748" s="18">
        <f t="shared" si="133"/>
        <v>0</v>
      </c>
      <c r="S1748" s="18">
        <f t="shared" si="133"/>
        <v>0</v>
      </c>
    </row>
    <row r="1749" spans="1:19" ht="15" customHeight="1" x14ac:dyDescent="0.25">
      <c r="A1749" s="34"/>
      <c r="B1749" s="34" t="s">
        <v>790</v>
      </c>
      <c r="C1749" s="18"/>
      <c r="D1749" s="13"/>
      <c r="E1749" s="13"/>
      <c r="F1749" s="13"/>
      <c r="G1749" s="13"/>
      <c r="H1749" s="13"/>
      <c r="I1749" s="13"/>
      <c r="J1749" s="13"/>
      <c r="K1749" s="13"/>
      <c r="L1749" s="14"/>
      <c r="M1749" s="13"/>
      <c r="N1749" s="14"/>
      <c r="O1749" s="13"/>
      <c r="P1749" s="13"/>
      <c r="Q1749" s="13"/>
      <c r="R1749" s="13"/>
      <c r="S1749" s="13"/>
    </row>
    <row r="1750" spans="1:19" x14ac:dyDescent="0.25">
      <c r="A1750" s="9" t="s">
        <v>483</v>
      </c>
      <c r="B1750" s="17" t="s">
        <v>806</v>
      </c>
      <c r="C1750" s="18">
        <f t="shared" ref="C1750:C1761" si="134">ROUNDUP(SUM(D1750+E1750+F1750+G1750+H1750+I1750+J1750+K1750+M1750+O1750+P1750+Q1750+R1750+S1750),2)</f>
        <v>2475648.44</v>
      </c>
      <c r="D1750" s="18">
        <v>51607.82</v>
      </c>
      <c r="E1750" s="18"/>
      <c r="F1750" s="18"/>
      <c r="G1750" s="18"/>
      <c r="H1750" s="18"/>
      <c r="I1750" s="18"/>
      <c r="J1750" s="18">
        <v>2424040.62</v>
      </c>
      <c r="K1750" s="18"/>
      <c r="L1750" s="10"/>
      <c r="M1750" s="18"/>
      <c r="N1750" s="10"/>
      <c r="O1750" s="18"/>
      <c r="P1750" s="18"/>
      <c r="Q1750" s="18"/>
      <c r="R1750" s="18"/>
      <c r="S1750" s="18"/>
    </row>
    <row r="1751" spans="1:19" x14ac:dyDescent="0.25">
      <c r="A1751" s="9" t="s">
        <v>485</v>
      </c>
      <c r="B1751" s="17" t="s">
        <v>814</v>
      </c>
      <c r="C1751" s="18">
        <f t="shared" si="134"/>
        <v>1208564.4099999999</v>
      </c>
      <c r="D1751" s="18">
        <v>25193.96</v>
      </c>
      <c r="E1751" s="18"/>
      <c r="F1751" s="18">
        <v>1093159.77</v>
      </c>
      <c r="G1751" s="18"/>
      <c r="H1751" s="18"/>
      <c r="I1751" s="18"/>
      <c r="J1751" s="18">
        <v>90210.68</v>
      </c>
      <c r="K1751" s="18"/>
      <c r="L1751" s="10"/>
      <c r="M1751" s="18"/>
      <c r="N1751" s="10"/>
      <c r="O1751" s="18"/>
      <c r="P1751" s="18"/>
      <c r="Q1751" s="18"/>
      <c r="R1751" s="18"/>
      <c r="S1751" s="18"/>
    </row>
    <row r="1752" spans="1:19" x14ac:dyDescent="0.25">
      <c r="A1752" s="9" t="s">
        <v>487</v>
      </c>
      <c r="B1752" s="17" t="s">
        <v>816</v>
      </c>
      <c r="C1752" s="18">
        <f t="shared" si="134"/>
        <v>1278647.96</v>
      </c>
      <c r="D1752" s="18">
        <v>26654.93</v>
      </c>
      <c r="E1752" s="18"/>
      <c r="F1752" s="18">
        <v>1188038.6200000001</v>
      </c>
      <c r="G1752" s="18"/>
      <c r="H1752" s="18"/>
      <c r="I1752" s="18"/>
      <c r="J1752" s="18">
        <v>63954.41</v>
      </c>
      <c r="K1752" s="18"/>
      <c r="L1752" s="10"/>
      <c r="M1752" s="18"/>
      <c r="N1752" s="10"/>
      <c r="O1752" s="18"/>
      <c r="P1752" s="18"/>
      <c r="Q1752" s="18"/>
      <c r="R1752" s="18"/>
      <c r="S1752" s="18"/>
    </row>
    <row r="1753" spans="1:19" x14ac:dyDescent="0.25">
      <c r="A1753" s="9" t="s">
        <v>489</v>
      </c>
      <c r="B1753" s="17" t="s">
        <v>820</v>
      </c>
      <c r="C1753" s="18">
        <f t="shared" si="134"/>
        <v>4820377.7</v>
      </c>
      <c r="D1753" s="18">
        <v>100486.48</v>
      </c>
      <c r="E1753" s="18"/>
      <c r="F1753" s="18">
        <v>4394793.04</v>
      </c>
      <c r="G1753" s="18"/>
      <c r="H1753" s="18"/>
      <c r="I1753" s="18"/>
      <c r="J1753" s="18">
        <v>325098.18</v>
      </c>
      <c r="K1753" s="18"/>
      <c r="L1753" s="10"/>
      <c r="M1753" s="18"/>
      <c r="N1753" s="10"/>
      <c r="O1753" s="18"/>
      <c r="P1753" s="18"/>
      <c r="Q1753" s="18"/>
      <c r="R1753" s="18"/>
      <c r="S1753" s="18"/>
    </row>
    <row r="1754" spans="1:19" x14ac:dyDescent="0.25">
      <c r="A1754" s="9" t="s">
        <v>491</v>
      </c>
      <c r="B1754" s="17" t="s">
        <v>822</v>
      </c>
      <c r="C1754" s="18">
        <f t="shared" si="134"/>
        <v>14180812.189999999</v>
      </c>
      <c r="D1754" s="18"/>
      <c r="E1754" s="18"/>
      <c r="F1754" s="18"/>
      <c r="G1754" s="18"/>
      <c r="H1754" s="18"/>
      <c r="I1754" s="18"/>
      <c r="J1754" s="18"/>
      <c r="K1754" s="18"/>
      <c r="L1754" s="10"/>
      <c r="M1754" s="18"/>
      <c r="N1754" s="10" t="s">
        <v>552</v>
      </c>
      <c r="O1754" s="18">
        <v>14180812.189999999</v>
      </c>
      <c r="P1754" s="18"/>
      <c r="Q1754" s="18"/>
      <c r="R1754" s="18"/>
      <c r="S1754" s="18"/>
    </row>
    <row r="1755" spans="1:19" x14ac:dyDescent="0.25">
      <c r="A1755" s="9" t="s">
        <v>493</v>
      </c>
      <c r="B1755" s="17" t="s">
        <v>824</v>
      </c>
      <c r="C1755" s="18">
        <f t="shared" si="134"/>
        <v>17671239.77</v>
      </c>
      <c r="D1755" s="18">
        <v>407580.17</v>
      </c>
      <c r="E1755" s="18"/>
      <c r="F1755" s="18"/>
      <c r="G1755" s="18">
        <v>13365301.039999999</v>
      </c>
      <c r="H1755" s="18"/>
      <c r="I1755" s="18"/>
      <c r="J1755" s="18">
        <v>3898358.56</v>
      </c>
      <c r="K1755" s="18"/>
      <c r="L1755" s="10"/>
      <c r="M1755" s="18"/>
      <c r="N1755" s="10"/>
      <c r="O1755" s="18"/>
      <c r="P1755" s="18"/>
      <c r="Q1755" s="18"/>
      <c r="R1755" s="18"/>
      <c r="S1755" s="18"/>
    </row>
    <row r="1756" spans="1:19" x14ac:dyDescent="0.25">
      <c r="A1756" s="9" t="s">
        <v>495</v>
      </c>
      <c r="B1756" s="17" t="s">
        <v>840</v>
      </c>
      <c r="C1756" s="18">
        <f t="shared" si="134"/>
        <v>2706540.95</v>
      </c>
      <c r="D1756" s="18">
        <v>56421.05</v>
      </c>
      <c r="E1756" s="18"/>
      <c r="F1756" s="18">
        <v>2650119.9</v>
      </c>
      <c r="G1756" s="18"/>
      <c r="H1756" s="18"/>
      <c r="I1756" s="18"/>
      <c r="J1756" s="18"/>
      <c r="K1756" s="18"/>
      <c r="L1756" s="10"/>
      <c r="M1756" s="18"/>
      <c r="N1756" s="10"/>
      <c r="O1756" s="18"/>
      <c r="P1756" s="18"/>
      <c r="Q1756" s="18"/>
      <c r="R1756" s="18"/>
      <c r="S1756" s="18"/>
    </row>
    <row r="1757" spans="1:19" x14ac:dyDescent="0.25">
      <c r="A1757" s="9" t="s">
        <v>497</v>
      </c>
      <c r="B1757" s="17" t="s">
        <v>844</v>
      </c>
      <c r="C1757" s="18">
        <f t="shared" si="134"/>
        <v>1488797.8</v>
      </c>
      <c r="D1757" s="18">
        <v>31035.75</v>
      </c>
      <c r="E1757" s="18"/>
      <c r="F1757" s="18">
        <v>1457762.05</v>
      </c>
      <c r="G1757" s="18"/>
      <c r="H1757" s="18"/>
      <c r="I1757" s="18"/>
      <c r="J1757" s="18"/>
      <c r="K1757" s="18"/>
      <c r="L1757" s="10"/>
      <c r="M1757" s="18"/>
      <c r="N1757" s="10"/>
      <c r="O1757" s="18"/>
      <c r="P1757" s="18"/>
      <c r="Q1757" s="18"/>
      <c r="R1757" s="18"/>
      <c r="S1757" s="18"/>
    </row>
    <row r="1758" spans="1:19" x14ac:dyDescent="0.25">
      <c r="A1758" s="9" t="s">
        <v>499</v>
      </c>
      <c r="B1758" s="17" t="s">
        <v>2033</v>
      </c>
      <c r="C1758" s="18">
        <f t="shared" si="134"/>
        <v>1159860.6499999999</v>
      </c>
      <c r="D1758" s="18">
        <v>5034.6000000000004</v>
      </c>
      <c r="E1758" s="18"/>
      <c r="F1758" s="18"/>
      <c r="G1758" s="18"/>
      <c r="H1758" s="18"/>
      <c r="I1758" s="18"/>
      <c r="J1758" s="18"/>
      <c r="K1758" s="18"/>
      <c r="L1758" s="10"/>
      <c r="M1758" s="18"/>
      <c r="N1758" s="10"/>
      <c r="O1758" s="18"/>
      <c r="P1758" s="18">
        <v>1154826.05</v>
      </c>
      <c r="Q1758" s="18"/>
      <c r="R1758" s="18"/>
      <c r="S1758" s="18"/>
    </row>
    <row r="1759" spans="1:19" x14ac:dyDescent="0.25">
      <c r="A1759" s="9" t="s">
        <v>501</v>
      </c>
      <c r="B1759" s="17" t="s">
        <v>848</v>
      </c>
      <c r="C1759" s="18">
        <f t="shared" si="134"/>
        <v>576941.68999999994</v>
      </c>
      <c r="D1759" s="18">
        <v>12027.03</v>
      </c>
      <c r="E1759" s="18"/>
      <c r="F1759" s="18">
        <v>564914.66</v>
      </c>
      <c r="G1759" s="18"/>
      <c r="H1759" s="18"/>
      <c r="I1759" s="18"/>
      <c r="J1759" s="18"/>
      <c r="K1759" s="18"/>
      <c r="L1759" s="10"/>
      <c r="M1759" s="18"/>
      <c r="N1759" s="10"/>
      <c r="O1759" s="18"/>
      <c r="P1759" s="18"/>
      <c r="Q1759" s="18"/>
      <c r="R1759" s="18"/>
      <c r="S1759" s="18"/>
    </row>
    <row r="1760" spans="1:19" x14ac:dyDescent="0.25">
      <c r="A1760" s="9" t="s">
        <v>503</v>
      </c>
      <c r="B1760" s="17" t="s">
        <v>872</v>
      </c>
      <c r="C1760" s="18">
        <f t="shared" si="134"/>
        <v>186759.51</v>
      </c>
      <c r="D1760" s="18">
        <v>3893.22</v>
      </c>
      <c r="E1760" s="18"/>
      <c r="F1760" s="18"/>
      <c r="G1760" s="18">
        <v>182866.29</v>
      </c>
      <c r="H1760" s="18"/>
      <c r="I1760" s="18"/>
      <c r="J1760" s="18"/>
      <c r="K1760" s="18"/>
      <c r="L1760" s="10"/>
      <c r="M1760" s="18"/>
      <c r="N1760" s="10"/>
      <c r="O1760" s="18"/>
      <c r="P1760" s="18"/>
      <c r="Q1760" s="18"/>
      <c r="R1760" s="18"/>
      <c r="S1760" s="18"/>
    </row>
    <row r="1761" spans="1:19" s="2" customFormat="1" x14ac:dyDescent="0.25">
      <c r="A1761" s="9" t="s">
        <v>505</v>
      </c>
      <c r="B1761" s="17" t="s">
        <v>874</v>
      </c>
      <c r="C1761" s="18">
        <f t="shared" si="134"/>
        <v>606621.37</v>
      </c>
      <c r="D1761" s="18">
        <v>12645.74</v>
      </c>
      <c r="E1761" s="18"/>
      <c r="F1761" s="18"/>
      <c r="G1761" s="18"/>
      <c r="H1761" s="18"/>
      <c r="I1761" s="18"/>
      <c r="J1761" s="18">
        <v>593975.63</v>
      </c>
      <c r="K1761" s="18"/>
      <c r="L1761" s="10"/>
      <c r="M1761" s="18"/>
      <c r="N1761" s="10"/>
      <c r="O1761" s="18"/>
      <c r="P1761" s="18"/>
      <c r="Q1761" s="18"/>
      <c r="R1761" s="18"/>
      <c r="S1761" s="18"/>
    </row>
    <row r="1762" spans="1:19" x14ac:dyDescent="0.25">
      <c r="A1762" s="33"/>
      <c r="B1762" s="33" t="s">
        <v>2034</v>
      </c>
      <c r="C1762" s="18">
        <f t="shared" ref="C1762:S1762" si="135">SUM(C1750:C1761)</f>
        <v>48360812.43999999</v>
      </c>
      <c r="D1762" s="18">
        <f t="shared" si="135"/>
        <v>732580.75</v>
      </c>
      <c r="E1762" s="18">
        <f t="shared" si="135"/>
        <v>0</v>
      </c>
      <c r="F1762" s="18">
        <f t="shared" si="135"/>
        <v>11348788.040000001</v>
      </c>
      <c r="G1762" s="18">
        <f t="shared" si="135"/>
        <v>13548167.329999998</v>
      </c>
      <c r="H1762" s="18">
        <f t="shared" si="135"/>
        <v>0</v>
      </c>
      <c r="I1762" s="18">
        <f t="shared" si="135"/>
        <v>0</v>
      </c>
      <c r="J1762" s="18">
        <f t="shared" si="135"/>
        <v>7395638.080000001</v>
      </c>
      <c r="K1762" s="18">
        <f t="shared" si="135"/>
        <v>0</v>
      </c>
      <c r="L1762" s="10">
        <f t="shared" si="135"/>
        <v>0</v>
      </c>
      <c r="M1762" s="18">
        <f t="shared" si="135"/>
        <v>0</v>
      </c>
      <c r="N1762" s="18" t="s">
        <v>42</v>
      </c>
      <c r="O1762" s="18">
        <f t="shared" si="135"/>
        <v>14180812.189999999</v>
      </c>
      <c r="P1762" s="18">
        <f t="shared" si="135"/>
        <v>1154826.05</v>
      </c>
      <c r="Q1762" s="18">
        <f t="shared" si="135"/>
        <v>0</v>
      </c>
      <c r="R1762" s="18">
        <f t="shared" si="135"/>
        <v>0</v>
      </c>
      <c r="S1762" s="18">
        <f t="shared" si="135"/>
        <v>0</v>
      </c>
    </row>
    <row r="1763" spans="1:19" x14ac:dyDescent="0.25">
      <c r="A1763" s="34"/>
      <c r="B1763" s="34" t="s">
        <v>901</v>
      </c>
      <c r="C1763" s="18"/>
      <c r="D1763" s="13"/>
      <c r="E1763" s="13"/>
      <c r="F1763" s="13"/>
      <c r="G1763" s="13"/>
      <c r="H1763" s="13"/>
      <c r="I1763" s="13"/>
      <c r="J1763" s="13"/>
      <c r="K1763" s="13"/>
      <c r="L1763" s="14"/>
      <c r="M1763" s="13"/>
      <c r="N1763" s="14"/>
      <c r="O1763" s="13"/>
      <c r="P1763" s="13"/>
      <c r="Q1763" s="13"/>
      <c r="R1763" s="13"/>
      <c r="S1763" s="13"/>
    </row>
    <row r="1764" spans="1:19" x14ac:dyDescent="0.25">
      <c r="A1764" s="9" t="s">
        <v>507</v>
      </c>
      <c r="B1764" s="17" t="s">
        <v>929</v>
      </c>
      <c r="C1764" s="18">
        <f t="shared" ref="C1764:C1769" si="136">ROUNDUP(SUM(D1764+E1764+F1764+G1764+H1764+I1764+J1764+K1764+M1764+O1764+P1764+Q1764+R1764+S1764),2)</f>
        <v>21283545.079999998</v>
      </c>
      <c r="D1764" s="18"/>
      <c r="E1764" s="18"/>
      <c r="F1764" s="18"/>
      <c r="G1764" s="18"/>
      <c r="H1764" s="18"/>
      <c r="I1764" s="18"/>
      <c r="J1764" s="18"/>
      <c r="K1764" s="18"/>
      <c r="L1764" s="10"/>
      <c r="M1764" s="18"/>
      <c r="N1764" s="10"/>
      <c r="O1764" s="18"/>
      <c r="P1764" s="18"/>
      <c r="Q1764" s="18"/>
      <c r="R1764" s="18">
        <v>21283545.079999998</v>
      </c>
      <c r="S1764" s="18"/>
    </row>
    <row r="1765" spans="1:19" x14ac:dyDescent="0.25">
      <c r="A1765" s="9">
        <f>1+A1764</f>
        <v>236</v>
      </c>
      <c r="B1765" s="17" t="s">
        <v>919</v>
      </c>
      <c r="C1765" s="18">
        <f t="shared" si="136"/>
        <v>21324392.18</v>
      </c>
      <c r="D1765" s="18"/>
      <c r="E1765" s="18"/>
      <c r="F1765" s="18"/>
      <c r="G1765" s="18"/>
      <c r="H1765" s="18"/>
      <c r="I1765" s="18"/>
      <c r="J1765" s="18"/>
      <c r="K1765" s="18"/>
      <c r="L1765" s="10"/>
      <c r="M1765" s="18"/>
      <c r="N1765" s="10"/>
      <c r="O1765" s="18"/>
      <c r="P1765" s="18"/>
      <c r="Q1765" s="18"/>
      <c r="R1765" s="18">
        <v>21324392.18</v>
      </c>
      <c r="S1765" s="18"/>
    </row>
    <row r="1766" spans="1:19" x14ac:dyDescent="0.25">
      <c r="A1766" s="9">
        <f>1+A1765</f>
        <v>237</v>
      </c>
      <c r="B1766" s="17" t="s">
        <v>921</v>
      </c>
      <c r="C1766" s="18">
        <f t="shared" si="136"/>
        <v>23359424.129999999</v>
      </c>
      <c r="D1766" s="18"/>
      <c r="E1766" s="18"/>
      <c r="F1766" s="18"/>
      <c r="G1766" s="18"/>
      <c r="H1766" s="18"/>
      <c r="I1766" s="18"/>
      <c r="J1766" s="18"/>
      <c r="K1766" s="18"/>
      <c r="L1766" s="10"/>
      <c r="M1766" s="18"/>
      <c r="N1766" s="10" t="s">
        <v>355</v>
      </c>
      <c r="O1766" s="18">
        <v>23359424.129999999</v>
      </c>
      <c r="P1766" s="18"/>
      <c r="Q1766" s="18"/>
      <c r="R1766" s="18"/>
      <c r="S1766" s="18"/>
    </row>
    <row r="1767" spans="1:19" x14ac:dyDescent="0.25">
      <c r="A1767" s="9">
        <f>1+A1766</f>
        <v>238</v>
      </c>
      <c r="B1767" s="17" t="s">
        <v>925</v>
      </c>
      <c r="C1767" s="18">
        <f t="shared" si="136"/>
        <v>8369247.3600000003</v>
      </c>
      <c r="D1767" s="18"/>
      <c r="E1767" s="18"/>
      <c r="F1767" s="18"/>
      <c r="G1767" s="18">
        <v>8369247.3600000003</v>
      </c>
      <c r="H1767" s="18"/>
      <c r="I1767" s="18"/>
      <c r="J1767" s="18"/>
      <c r="K1767" s="18"/>
      <c r="L1767" s="10"/>
      <c r="M1767" s="18"/>
      <c r="N1767" s="10"/>
      <c r="O1767" s="18"/>
      <c r="P1767" s="18"/>
      <c r="Q1767" s="18"/>
      <c r="R1767" s="18"/>
      <c r="S1767" s="18"/>
    </row>
    <row r="1768" spans="1:19" x14ac:dyDescent="0.25">
      <c r="A1768" s="9">
        <f>1+A1767</f>
        <v>239</v>
      </c>
      <c r="B1768" s="17" t="s">
        <v>931</v>
      </c>
      <c r="C1768" s="18">
        <f t="shared" si="136"/>
        <v>20858786.530000001</v>
      </c>
      <c r="D1768" s="18"/>
      <c r="E1768" s="18"/>
      <c r="F1768" s="18"/>
      <c r="G1768" s="18"/>
      <c r="H1768" s="18"/>
      <c r="I1768" s="18"/>
      <c r="J1768" s="18"/>
      <c r="K1768" s="18"/>
      <c r="L1768" s="10"/>
      <c r="M1768" s="18"/>
      <c r="N1768" s="10"/>
      <c r="O1768" s="18"/>
      <c r="P1768" s="18"/>
      <c r="Q1768" s="18"/>
      <c r="R1768" s="18">
        <v>20858786.530000001</v>
      </c>
      <c r="S1768" s="18"/>
    </row>
    <row r="1769" spans="1:19" x14ac:dyDescent="0.25">
      <c r="A1769" s="9">
        <f>1+A1768</f>
        <v>240</v>
      </c>
      <c r="B1769" s="17" t="s">
        <v>939</v>
      </c>
      <c r="C1769" s="18">
        <f t="shared" si="136"/>
        <v>3406298.15</v>
      </c>
      <c r="D1769" s="18"/>
      <c r="E1769" s="18"/>
      <c r="F1769" s="18"/>
      <c r="G1769" s="18">
        <v>1778030.65</v>
      </c>
      <c r="H1769" s="18">
        <v>1169214.1200000001</v>
      </c>
      <c r="I1769" s="18">
        <v>459053.38</v>
      </c>
      <c r="J1769" s="18"/>
      <c r="K1769" s="18"/>
      <c r="L1769" s="10"/>
      <c r="M1769" s="18"/>
      <c r="N1769" s="10"/>
      <c r="O1769" s="18"/>
      <c r="P1769" s="18"/>
      <c r="Q1769" s="18"/>
      <c r="R1769" s="18"/>
      <c r="S1769" s="18"/>
    </row>
    <row r="1770" spans="1:19" x14ac:dyDescent="0.25">
      <c r="A1770" s="33"/>
      <c r="B1770" s="33" t="s">
        <v>2035</v>
      </c>
      <c r="C1770" s="18">
        <f>ROUND(D1770+E1770+F1770+G1770+H1770+I1770+J1770+K1770+M1770+O1770+P1770+Q1770+R1770+S1770,2)</f>
        <v>98601693.430000007</v>
      </c>
      <c r="D1770" s="18">
        <f t="shared" ref="D1770:S1770" si="137">SUM(D1764:D1769)</f>
        <v>0</v>
      </c>
      <c r="E1770" s="18">
        <f t="shared" si="137"/>
        <v>0</v>
      </c>
      <c r="F1770" s="18">
        <f t="shared" si="137"/>
        <v>0</v>
      </c>
      <c r="G1770" s="18">
        <f t="shared" si="137"/>
        <v>10147278.01</v>
      </c>
      <c r="H1770" s="18">
        <f t="shared" si="137"/>
        <v>1169214.1200000001</v>
      </c>
      <c r="I1770" s="18">
        <f t="shared" si="137"/>
        <v>459053.38</v>
      </c>
      <c r="J1770" s="18">
        <f t="shared" si="137"/>
        <v>0</v>
      </c>
      <c r="K1770" s="18">
        <f t="shared" si="137"/>
        <v>0</v>
      </c>
      <c r="L1770" s="10">
        <f t="shared" si="137"/>
        <v>0</v>
      </c>
      <c r="M1770" s="18">
        <f t="shared" si="137"/>
        <v>0</v>
      </c>
      <c r="N1770" s="18" t="s">
        <v>42</v>
      </c>
      <c r="O1770" s="18">
        <f t="shared" si="137"/>
        <v>23359424.129999999</v>
      </c>
      <c r="P1770" s="18">
        <f t="shared" si="137"/>
        <v>0</v>
      </c>
      <c r="Q1770" s="18">
        <f t="shared" si="137"/>
        <v>0</v>
      </c>
      <c r="R1770" s="18">
        <f t="shared" si="137"/>
        <v>63466723.789999999</v>
      </c>
      <c r="S1770" s="18">
        <f t="shared" si="137"/>
        <v>0</v>
      </c>
    </row>
    <row r="1771" spans="1:19" x14ac:dyDescent="0.25">
      <c r="A1771" s="34"/>
      <c r="B1771" s="34" t="s">
        <v>945</v>
      </c>
      <c r="C1771" s="18"/>
      <c r="D1771" s="13"/>
      <c r="E1771" s="13"/>
      <c r="F1771" s="13"/>
      <c r="G1771" s="13"/>
      <c r="H1771" s="13"/>
      <c r="I1771" s="13"/>
      <c r="J1771" s="13"/>
      <c r="K1771" s="13"/>
      <c r="L1771" s="14"/>
      <c r="M1771" s="13"/>
      <c r="N1771" s="14"/>
      <c r="O1771" s="13"/>
      <c r="P1771" s="13"/>
      <c r="Q1771" s="13"/>
      <c r="R1771" s="13"/>
      <c r="S1771" s="13"/>
    </row>
    <row r="1772" spans="1:19" x14ac:dyDescent="0.25">
      <c r="A1772" s="9" t="s">
        <v>520</v>
      </c>
      <c r="B1772" s="17" t="s">
        <v>951</v>
      </c>
      <c r="C1772" s="18">
        <f t="shared" ref="C1772:C1788" si="138">ROUNDUP(SUM(D1772+E1772+F1772+G1772+H1772+I1772+J1772+K1772+M1772+O1772+P1772+Q1772+R1772+S1772),2)</f>
        <v>3930889.62</v>
      </c>
      <c r="D1772" s="18">
        <v>17103.54</v>
      </c>
      <c r="E1772" s="18"/>
      <c r="F1772" s="18">
        <v>650600</v>
      </c>
      <c r="G1772" s="18"/>
      <c r="H1772" s="18"/>
      <c r="I1772" s="18"/>
      <c r="J1772" s="18">
        <v>275119.17</v>
      </c>
      <c r="K1772" s="18"/>
      <c r="L1772" s="10"/>
      <c r="M1772" s="18"/>
      <c r="N1772" s="10"/>
      <c r="O1772" s="18"/>
      <c r="P1772" s="18"/>
      <c r="Q1772" s="18">
        <v>2988066.91</v>
      </c>
      <c r="R1772" s="18"/>
      <c r="S1772" s="18"/>
    </row>
    <row r="1773" spans="1:19" x14ac:dyDescent="0.25">
      <c r="A1773" s="9" t="s">
        <v>522</v>
      </c>
      <c r="B1773" s="17" t="s">
        <v>953</v>
      </c>
      <c r="C1773" s="18">
        <f t="shared" si="138"/>
        <v>3924856.31</v>
      </c>
      <c r="D1773" s="18">
        <v>17076.989999999998</v>
      </c>
      <c r="E1773" s="18"/>
      <c r="F1773" s="18">
        <v>665431.13</v>
      </c>
      <c r="G1773" s="18"/>
      <c r="H1773" s="18"/>
      <c r="I1773" s="18"/>
      <c r="J1773" s="18">
        <v>256002.43</v>
      </c>
      <c r="K1773" s="18"/>
      <c r="L1773" s="10"/>
      <c r="M1773" s="18"/>
      <c r="N1773" s="10"/>
      <c r="O1773" s="18"/>
      <c r="P1773" s="18"/>
      <c r="Q1773" s="18">
        <v>2986345.76</v>
      </c>
      <c r="R1773" s="18"/>
      <c r="S1773" s="18"/>
    </row>
    <row r="1774" spans="1:19" x14ac:dyDescent="0.25">
      <c r="A1774" s="9" t="s">
        <v>524</v>
      </c>
      <c r="B1774" s="17" t="s">
        <v>957</v>
      </c>
      <c r="C1774" s="18">
        <f t="shared" si="138"/>
        <v>3936681.89</v>
      </c>
      <c r="D1774" s="18">
        <v>17128.46</v>
      </c>
      <c r="E1774" s="18"/>
      <c r="F1774" s="18">
        <v>666980.80000000005</v>
      </c>
      <c r="G1774" s="18"/>
      <c r="H1774" s="18"/>
      <c r="I1774" s="18"/>
      <c r="J1774" s="18">
        <v>276211.71000000002</v>
      </c>
      <c r="K1774" s="18"/>
      <c r="L1774" s="10"/>
      <c r="M1774" s="18"/>
      <c r="N1774" s="10"/>
      <c r="O1774" s="18"/>
      <c r="P1774" s="18"/>
      <c r="Q1774" s="18">
        <v>2976360.92</v>
      </c>
      <c r="R1774" s="18"/>
      <c r="S1774" s="18"/>
    </row>
    <row r="1775" spans="1:19" x14ac:dyDescent="0.25">
      <c r="A1775" s="9" t="s">
        <v>526</v>
      </c>
      <c r="B1775" s="17" t="s">
        <v>959</v>
      </c>
      <c r="C1775" s="18">
        <f t="shared" si="138"/>
        <v>1992972.81</v>
      </c>
      <c r="D1775" s="18">
        <v>8671.4</v>
      </c>
      <c r="E1775" s="18"/>
      <c r="F1775" s="18">
        <v>770072.29</v>
      </c>
      <c r="G1775" s="18">
        <v>476066.73</v>
      </c>
      <c r="H1775" s="18">
        <v>112380.54</v>
      </c>
      <c r="I1775" s="18">
        <v>109598.56</v>
      </c>
      <c r="J1775" s="18">
        <v>516183.29</v>
      </c>
      <c r="K1775" s="18"/>
      <c r="L1775" s="10"/>
      <c r="M1775" s="18"/>
      <c r="N1775" s="10"/>
      <c r="O1775" s="18"/>
      <c r="P1775" s="18"/>
      <c r="Q1775" s="18"/>
      <c r="R1775" s="18"/>
      <c r="S1775" s="18"/>
    </row>
    <row r="1776" spans="1:19" x14ac:dyDescent="0.25">
      <c r="A1776" s="9" t="s">
        <v>528</v>
      </c>
      <c r="B1776" s="17" t="s">
        <v>961</v>
      </c>
      <c r="C1776" s="18">
        <f t="shared" si="138"/>
        <v>1001133.54</v>
      </c>
      <c r="D1776" s="18">
        <v>4355.92</v>
      </c>
      <c r="E1776" s="18"/>
      <c r="F1776" s="18"/>
      <c r="G1776" s="18"/>
      <c r="H1776" s="18"/>
      <c r="I1776" s="18"/>
      <c r="J1776" s="18">
        <v>996777.62</v>
      </c>
      <c r="K1776" s="18"/>
      <c r="L1776" s="10"/>
      <c r="M1776" s="18"/>
      <c r="N1776" s="10"/>
      <c r="O1776" s="18"/>
      <c r="P1776" s="18"/>
      <c r="Q1776" s="18"/>
      <c r="R1776" s="18"/>
      <c r="S1776" s="18"/>
    </row>
    <row r="1777" spans="1:19" x14ac:dyDescent="0.25">
      <c r="A1777" s="9" t="s">
        <v>530</v>
      </c>
      <c r="B1777" s="17" t="s">
        <v>971</v>
      </c>
      <c r="C1777" s="18">
        <f>ROUNDUP(SUM(D1777+E1777+F1777+G1777+H1777+I1777+J1777+K1777+M1777+O1777+P1777+Q1777+R1777+S1777),2)</f>
        <v>12594962.109999999</v>
      </c>
      <c r="D1777" s="18">
        <v>50476.969999999994</v>
      </c>
      <c r="E1777" s="18"/>
      <c r="F1777" s="18">
        <v>2545512.59</v>
      </c>
      <c r="G1777" s="18">
        <v>6339723.5999999996</v>
      </c>
      <c r="H1777" s="18">
        <v>1990010.17</v>
      </c>
      <c r="I1777" s="18">
        <v>675549.54</v>
      </c>
      <c r="J1777" s="18">
        <v>993689.24</v>
      </c>
      <c r="K1777" s="18"/>
      <c r="L1777" s="10"/>
      <c r="M1777" s="18"/>
      <c r="N1777" s="10"/>
      <c r="O1777" s="18"/>
      <c r="P1777" s="18"/>
      <c r="Q1777" s="18"/>
      <c r="R1777" s="18"/>
      <c r="S1777" s="18"/>
    </row>
    <row r="1778" spans="1:19" x14ac:dyDescent="0.25">
      <c r="A1778" s="9" t="s">
        <v>532</v>
      </c>
      <c r="B1778" s="17" t="s">
        <v>975</v>
      </c>
      <c r="C1778" s="18">
        <f t="shared" si="138"/>
        <v>13025559.57</v>
      </c>
      <c r="D1778" s="18">
        <v>52482.95</v>
      </c>
      <c r="E1778" s="18"/>
      <c r="F1778" s="18">
        <v>2545512.59</v>
      </c>
      <c r="G1778" s="18">
        <v>6547714.6900000004</v>
      </c>
      <c r="H1778" s="18">
        <v>1992557.88</v>
      </c>
      <c r="I1778" s="18">
        <v>924044.06</v>
      </c>
      <c r="J1778" s="18">
        <v>963247.4</v>
      </c>
      <c r="K1778" s="18"/>
      <c r="L1778" s="10"/>
      <c r="M1778" s="18"/>
      <c r="N1778" s="10"/>
      <c r="O1778" s="18"/>
      <c r="P1778" s="18"/>
      <c r="Q1778" s="18"/>
      <c r="R1778" s="18"/>
      <c r="S1778" s="18"/>
    </row>
    <row r="1779" spans="1:19" x14ac:dyDescent="0.25">
      <c r="A1779" s="9" t="s">
        <v>534</v>
      </c>
      <c r="B1779" s="17" t="s">
        <v>2036</v>
      </c>
      <c r="C1779" s="18">
        <f t="shared" si="138"/>
        <v>8566136.1500000004</v>
      </c>
      <c r="D1779" s="18">
        <v>168266.49</v>
      </c>
      <c r="E1779" s="18">
        <v>187402.02</v>
      </c>
      <c r="F1779" s="18"/>
      <c r="G1779" s="18"/>
      <c r="H1779" s="18"/>
      <c r="I1779" s="18"/>
      <c r="J1779" s="18"/>
      <c r="K1779" s="18"/>
      <c r="L1779" s="10">
        <v>2</v>
      </c>
      <c r="M1779" s="18">
        <v>8210467.6399999997</v>
      </c>
      <c r="N1779" s="10"/>
      <c r="O1779" s="18"/>
      <c r="P1779" s="18"/>
      <c r="Q1779" s="18"/>
      <c r="R1779" s="18"/>
      <c r="S1779" s="18"/>
    </row>
    <row r="1780" spans="1:19" x14ac:dyDescent="0.25">
      <c r="A1780" s="9" t="s">
        <v>536</v>
      </c>
      <c r="B1780" s="17" t="s">
        <v>979</v>
      </c>
      <c r="C1780" s="18">
        <f t="shared" si="138"/>
        <v>36025874.590000004</v>
      </c>
      <c r="D1780" s="18">
        <v>20099.05</v>
      </c>
      <c r="E1780" s="18"/>
      <c r="F1780" s="18">
        <v>4599324.42</v>
      </c>
      <c r="G1780" s="18">
        <v>13506316.34</v>
      </c>
      <c r="H1780" s="18">
        <v>8913162.5999999996</v>
      </c>
      <c r="I1780" s="18">
        <v>3892019.78</v>
      </c>
      <c r="J1780" s="18">
        <v>5094952.4000000004</v>
      </c>
      <c r="K1780" s="18"/>
      <c r="L1780" s="10"/>
      <c r="M1780" s="18"/>
      <c r="N1780" s="10"/>
      <c r="O1780" s="18"/>
      <c r="P1780" s="18"/>
      <c r="Q1780" s="18"/>
      <c r="R1780" s="18"/>
      <c r="S1780" s="18"/>
    </row>
    <row r="1781" spans="1:19" x14ac:dyDescent="0.25">
      <c r="A1781" s="9" t="s">
        <v>538</v>
      </c>
      <c r="B1781" s="17" t="s">
        <v>2037</v>
      </c>
      <c r="C1781" s="18">
        <f t="shared" si="138"/>
        <v>23336776.170000002</v>
      </c>
      <c r="D1781" s="18">
        <v>40000</v>
      </c>
      <c r="E1781" s="18">
        <f>ROUNDUP(SUM(F1781+G1781+H1781+I1781+J1781+K1781+M1781+O1781+P1781+Q1781+R1781+S1781)*0.04,2)</f>
        <v>896029.86</v>
      </c>
      <c r="F1781" s="18">
        <v>4229634.3199999994</v>
      </c>
      <c r="G1781" s="18"/>
      <c r="H1781" s="18">
        <v>11709315.08</v>
      </c>
      <c r="I1781" s="18">
        <v>4592585.8199999994</v>
      </c>
      <c r="J1781" s="18">
        <v>562448.41</v>
      </c>
      <c r="K1781" s="18"/>
      <c r="L1781" s="10"/>
      <c r="M1781" s="18"/>
      <c r="N1781" s="10"/>
      <c r="O1781" s="18"/>
      <c r="P1781" s="18">
        <v>1306762.68</v>
      </c>
      <c r="Q1781" s="18"/>
      <c r="R1781" s="18"/>
      <c r="S1781" s="18"/>
    </row>
    <row r="1782" spans="1:19" x14ac:dyDescent="0.25">
      <c r="A1782" s="9" t="s">
        <v>540</v>
      </c>
      <c r="B1782" s="21" t="s">
        <v>981</v>
      </c>
      <c r="C1782" s="18">
        <f t="shared" si="138"/>
        <v>4776841.72</v>
      </c>
      <c r="D1782" s="18">
        <v>13817.84</v>
      </c>
      <c r="E1782" s="18"/>
      <c r="F1782" s="18">
        <v>1597642.44</v>
      </c>
      <c r="G1782" s="18">
        <v>744862.98</v>
      </c>
      <c r="H1782" s="18">
        <v>907675.48</v>
      </c>
      <c r="I1782" s="18">
        <v>693370.74</v>
      </c>
      <c r="J1782" s="18">
        <v>819472.24</v>
      </c>
      <c r="K1782" s="18"/>
      <c r="L1782" s="10"/>
      <c r="M1782" s="18"/>
      <c r="N1782" s="10"/>
      <c r="O1782" s="18"/>
      <c r="P1782" s="18"/>
      <c r="Q1782" s="18"/>
      <c r="R1782" s="18"/>
      <c r="S1782" s="18"/>
    </row>
    <row r="1783" spans="1:19" x14ac:dyDescent="0.25">
      <c r="A1783" s="9" t="s">
        <v>542</v>
      </c>
      <c r="B1783" s="21" t="s">
        <v>983</v>
      </c>
      <c r="C1783" s="18">
        <f t="shared" si="138"/>
        <v>9443327.3100000005</v>
      </c>
      <c r="D1783" s="18">
        <v>41087.780000000006</v>
      </c>
      <c r="E1783" s="18"/>
      <c r="F1783" s="18">
        <v>1381409.94</v>
      </c>
      <c r="G1783" s="18">
        <v>2499057.0499999998</v>
      </c>
      <c r="H1783" s="18">
        <v>3236143.35</v>
      </c>
      <c r="I1783" s="18">
        <v>860838.65</v>
      </c>
      <c r="J1783" s="18">
        <v>1424790.54</v>
      </c>
      <c r="K1783" s="18"/>
      <c r="L1783" s="10"/>
      <c r="M1783" s="18"/>
      <c r="N1783" s="10"/>
      <c r="O1783" s="18"/>
      <c r="P1783" s="18"/>
      <c r="Q1783" s="18"/>
      <c r="R1783" s="18"/>
      <c r="S1783" s="18"/>
    </row>
    <row r="1784" spans="1:19" x14ac:dyDescent="0.25">
      <c r="A1784" s="9" t="s">
        <v>544</v>
      </c>
      <c r="B1784" s="21" t="s">
        <v>985</v>
      </c>
      <c r="C1784" s="18">
        <f t="shared" si="138"/>
        <v>5933895.5999999996</v>
      </c>
      <c r="D1784" s="18">
        <v>25818.3</v>
      </c>
      <c r="E1784" s="18"/>
      <c r="F1784" s="18">
        <v>1194298.83</v>
      </c>
      <c r="G1784" s="18">
        <v>743586.92</v>
      </c>
      <c r="H1784" s="18">
        <v>1834648.83</v>
      </c>
      <c r="I1784" s="18">
        <v>758291.53</v>
      </c>
      <c r="J1784" s="18">
        <v>1377251.19</v>
      </c>
      <c r="K1784" s="18"/>
      <c r="L1784" s="10"/>
      <c r="M1784" s="18"/>
      <c r="N1784" s="10"/>
      <c r="O1784" s="18"/>
      <c r="P1784" s="18"/>
      <c r="Q1784" s="18"/>
      <c r="R1784" s="18"/>
      <c r="S1784" s="18"/>
    </row>
    <row r="1785" spans="1:19" x14ac:dyDescent="0.25">
      <c r="A1785" s="9" t="s">
        <v>548</v>
      </c>
      <c r="B1785" s="21" t="s">
        <v>987</v>
      </c>
      <c r="C1785" s="18">
        <f t="shared" si="138"/>
        <v>3760374.37</v>
      </c>
      <c r="D1785" s="18">
        <v>16361.33</v>
      </c>
      <c r="E1785" s="18"/>
      <c r="F1785" s="18">
        <v>1431014.48</v>
      </c>
      <c r="G1785" s="18">
        <v>747810.6</v>
      </c>
      <c r="H1785" s="18">
        <v>677866.38</v>
      </c>
      <c r="I1785" s="18">
        <v>193309.15</v>
      </c>
      <c r="J1785" s="18">
        <v>694012.43</v>
      </c>
      <c r="K1785" s="18"/>
      <c r="L1785" s="10"/>
      <c r="M1785" s="18"/>
      <c r="N1785" s="10"/>
      <c r="O1785" s="18"/>
      <c r="P1785" s="18"/>
      <c r="Q1785" s="18"/>
      <c r="R1785" s="18"/>
      <c r="S1785" s="18"/>
    </row>
    <row r="1786" spans="1:19" x14ac:dyDescent="0.25">
      <c r="A1786" s="9" t="s">
        <v>550</v>
      </c>
      <c r="B1786" s="17" t="s">
        <v>2038</v>
      </c>
      <c r="C1786" s="18">
        <f t="shared" si="138"/>
        <v>8567761.5199999996</v>
      </c>
      <c r="D1786" s="18">
        <v>168266.49</v>
      </c>
      <c r="E1786" s="18">
        <v>189027.39</v>
      </c>
      <c r="F1786" s="18"/>
      <c r="G1786" s="18"/>
      <c r="H1786" s="18"/>
      <c r="I1786" s="18"/>
      <c r="J1786" s="18"/>
      <c r="K1786" s="18"/>
      <c r="L1786" s="10">
        <v>2</v>
      </c>
      <c r="M1786" s="18">
        <v>8210467.6399999997</v>
      </c>
      <c r="N1786" s="10"/>
      <c r="O1786" s="18"/>
      <c r="P1786" s="18"/>
      <c r="Q1786" s="18"/>
      <c r="R1786" s="18"/>
      <c r="S1786" s="18"/>
    </row>
    <row r="1787" spans="1:19" x14ac:dyDescent="0.25">
      <c r="A1787" s="9" t="s">
        <v>553</v>
      </c>
      <c r="B1787" s="17" t="s">
        <v>991</v>
      </c>
      <c r="C1787" s="18">
        <f t="shared" si="138"/>
        <v>12776060.640000001</v>
      </c>
      <c r="D1787" s="18">
        <v>55605.440000000002</v>
      </c>
      <c r="E1787" s="18"/>
      <c r="F1787" s="18">
        <v>3214994.76</v>
      </c>
      <c r="G1787" s="18"/>
      <c r="H1787" s="18">
        <v>4407230.8899999997</v>
      </c>
      <c r="I1787" s="18">
        <v>1958006.47</v>
      </c>
      <c r="J1787" s="18">
        <v>3140223.08</v>
      </c>
      <c r="K1787" s="18"/>
      <c r="L1787" s="10"/>
      <c r="M1787" s="18"/>
      <c r="N1787" s="10"/>
      <c r="O1787" s="18"/>
      <c r="P1787" s="18"/>
      <c r="Q1787" s="18"/>
      <c r="R1787" s="18"/>
      <c r="S1787" s="18"/>
    </row>
    <row r="1788" spans="1:19" x14ac:dyDescent="0.25">
      <c r="A1788" s="9" t="s">
        <v>555</v>
      </c>
      <c r="B1788" s="17" t="s">
        <v>2039</v>
      </c>
      <c r="C1788" s="18">
        <f t="shared" si="138"/>
        <v>12749035.51</v>
      </c>
      <c r="D1788" s="18">
        <v>252362.26</v>
      </c>
      <c r="E1788" s="18">
        <v>180971.8</v>
      </c>
      <c r="F1788" s="18"/>
      <c r="G1788" s="18"/>
      <c r="H1788" s="18"/>
      <c r="I1788" s="18"/>
      <c r="J1788" s="18"/>
      <c r="K1788" s="18"/>
      <c r="L1788" s="10">
        <v>3</v>
      </c>
      <c r="M1788" s="18">
        <v>12315701.449999999</v>
      </c>
      <c r="N1788" s="10"/>
      <c r="O1788" s="18"/>
      <c r="P1788" s="18"/>
      <c r="Q1788" s="18"/>
      <c r="R1788" s="18"/>
      <c r="S1788" s="18"/>
    </row>
    <row r="1789" spans="1:19" x14ac:dyDescent="0.25">
      <c r="A1789" s="9" t="s">
        <v>557</v>
      </c>
      <c r="B1789" s="17" t="s">
        <v>993</v>
      </c>
      <c r="C1789" s="18">
        <f>ROUNDUP(SUM(D1789+E1789+F1789+G1789+H1789+I1789+J1789+K1789+M1789+O1789+P1789+Q1789+R1789+S1789),2)</f>
        <v>6043037.25</v>
      </c>
      <c r="D1789" s="18">
        <v>26293.17</v>
      </c>
      <c r="E1789" s="18"/>
      <c r="F1789" s="18"/>
      <c r="G1789" s="18"/>
      <c r="H1789" s="18"/>
      <c r="I1789" s="18"/>
      <c r="J1789" s="18"/>
      <c r="K1789" s="18"/>
      <c r="L1789" s="10"/>
      <c r="M1789" s="18"/>
      <c r="N1789" s="10"/>
      <c r="O1789" s="18"/>
      <c r="P1789" s="18"/>
      <c r="Q1789" s="18"/>
      <c r="R1789" s="18">
        <v>6016744.0800000001</v>
      </c>
      <c r="S1789" s="18"/>
    </row>
    <row r="1790" spans="1:19" x14ac:dyDescent="0.25">
      <c r="A1790" s="33"/>
      <c r="B1790" s="33" t="s">
        <v>2040</v>
      </c>
      <c r="C1790" s="18">
        <f>ROUND(D1790+E1790+F1790+G1790+H1790+I1790+J1790+K1790+M1790+O1790+P1790+Q1790+R1790+S1790,2)</f>
        <v>172386176.68000001</v>
      </c>
      <c r="D1790" s="18">
        <f t="shared" ref="D1790:S1790" si="139">SUM(D1772:D1789)</f>
        <v>995274.38</v>
      </c>
      <c r="E1790" s="18">
        <f t="shared" si="139"/>
        <v>1453431.07</v>
      </c>
      <c r="F1790" s="18">
        <f t="shared" si="139"/>
        <v>25492428.590000004</v>
      </c>
      <c r="G1790" s="18">
        <f t="shared" si="139"/>
        <v>31605138.910000004</v>
      </c>
      <c r="H1790" s="18">
        <f t="shared" si="139"/>
        <v>35780991.199999996</v>
      </c>
      <c r="I1790" s="18">
        <f t="shared" si="139"/>
        <v>14657614.299999999</v>
      </c>
      <c r="J1790" s="18">
        <f t="shared" si="139"/>
        <v>17390381.150000002</v>
      </c>
      <c r="K1790" s="18">
        <f t="shared" si="139"/>
        <v>0</v>
      </c>
      <c r="L1790" s="10">
        <f t="shared" si="139"/>
        <v>7</v>
      </c>
      <c r="M1790" s="18">
        <f t="shared" si="139"/>
        <v>28736636.729999997</v>
      </c>
      <c r="N1790" s="18" t="s">
        <v>42</v>
      </c>
      <c r="O1790" s="18">
        <f t="shared" si="139"/>
        <v>0</v>
      </c>
      <c r="P1790" s="18">
        <f t="shared" si="139"/>
        <v>1306762.68</v>
      </c>
      <c r="Q1790" s="18">
        <f t="shared" si="139"/>
        <v>8950773.5899999999</v>
      </c>
      <c r="R1790" s="18">
        <f t="shared" si="139"/>
        <v>6016744.0800000001</v>
      </c>
      <c r="S1790" s="18">
        <f t="shared" si="139"/>
        <v>0</v>
      </c>
    </row>
    <row r="1791" spans="1:19" x14ac:dyDescent="0.25">
      <c r="A1791" s="34"/>
      <c r="B1791" s="34" t="s">
        <v>995</v>
      </c>
      <c r="C1791" s="18"/>
      <c r="D1791" s="13"/>
      <c r="E1791" s="13"/>
      <c r="F1791" s="13"/>
      <c r="G1791" s="13"/>
      <c r="H1791" s="13"/>
      <c r="I1791" s="13"/>
      <c r="J1791" s="13"/>
      <c r="K1791" s="13"/>
      <c r="L1791" s="14"/>
      <c r="M1791" s="13"/>
      <c r="N1791" s="14"/>
      <c r="O1791" s="13"/>
      <c r="P1791" s="13"/>
      <c r="Q1791" s="13"/>
      <c r="R1791" s="13"/>
      <c r="S1791" s="13"/>
    </row>
    <row r="1792" spans="1:19" x14ac:dyDescent="0.25">
      <c r="A1792" s="9" t="s">
        <v>559</v>
      </c>
      <c r="B1792" s="17" t="s">
        <v>1023</v>
      </c>
      <c r="C1792" s="18">
        <f>ROUNDUP(SUM(D1792+E1792+F1792+G1792+H1792+I1792+J1792+K1792+M1792+O1792+P1792+Q1792+R1792+S1792),2)</f>
        <v>2831664.56</v>
      </c>
      <c r="D1792" s="18"/>
      <c r="E1792" s="18"/>
      <c r="F1792" s="18"/>
      <c r="G1792" s="18"/>
      <c r="H1792" s="18"/>
      <c r="I1792" s="18"/>
      <c r="J1792" s="18"/>
      <c r="K1792" s="18"/>
      <c r="L1792" s="10"/>
      <c r="M1792" s="18"/>
      <c r="N1792" s="10"/>
      <c r="O1792" s="18"/>
      <c r="P1792" s="18">
        <v>2831664.56</v>
      </c>
      <c r="Q1792" s="18"/>
      <c r="R1792" s="18"/>
      <c r="S1792" s="18"/>
    </row>
    <row r="1793" spans="1:19" x14ac:dyDescent="0.25">
      <c r="A1793" s="9" t="s">
        <v>561</v>
      </c>
      <c r="B1793" s="17" t="s">
        <v>1025</v>
      </c>
      <c r="C1793" s="18">
        <f>ROUNDUP(SUM(D1793+E1793+F1793+G1793+H1793+I1793+J1793+K1793+M1793+O1793+P1793+Q1793+R1793+S1793),2)</f>
        <v>3349377.68</v>
      </c>
      <c r="D1793" s="18"/>
      <c r="E1793" s="18"/>
      <c r="F1793" s="18"/>
      <c r="G1793" s="18"/>
      <c r="H1793" s="18"/>
      <c r="I1793" s="18"/>
      <c r="J1793" s="18"/>
      <c r="K1793" s="18"/>
      <c r="L1793" s="10"/>
      <c r="M1793" s="18"/>
      <c r="N1793" s="10"/>
      <c r="O1793" s="18"/>
      <c r="P1793" s="18">
        <v>3349377.68</v>
      </c>
      <c r="Q1793" s="18"/>
      <c r="R1793" s="18"/>
      <c r="S1793" s="18"/>
    </row>
    <row r="1794" spans="1:19" x14ac:dyDescent="0.25">
      <c r="A1794" s="9" t="s">
        <v>563</v>
      </c>
      <c r="B1794" s="17" t="s">
        <v>1035</v>
      </c>
      <c r="C1794" s="18">
        <f>ROUNDUP(SUM(D1794+E1794+F1794+G1794+H1794+I1794+J1794+K1794+M1794+O1794+P1794+Q1794+R1794+S1794),2)</f>
        <v>3070606.22</v>
      </c>
      <c r="D1794" s="18"/>
      <c r="E1794" s="18"/>
      <c r="F1794" s="18"/>
      <c r="G1794" s="18"/>
      <c r="H1794" s="18"/>
      <c r="I1794" s="18"/>
      <c r="J1794" s="18"/>
      <c r="K1794" s="18"/>
      <c r="L1794" s="10"/>
      <c r="M1794" s="18"/>
      <c r="N1794" s="10"/>
      <c r="O1794" s="18"/>
      <c r="P1794" s="18">
        <v>3070606.22</v>
      </c>
      <c r="Q1794" s="18"/>
      <c r="R1794" s="18"/>
      <c r="S1794" s="18"/>
    </row>
    <row r="1795" spans="1:19" x14ac:dyDescent="0.25">
      <c r="A1795" s="9" t="s">
        <v>565</v>
      </c>
      <c r="B1795" s="17" t="s">
        <v>1037</v>
      </c>
      <c r="C1795" s="18">
        <f>ROUNDUP(SUM(D1795+E1795+F1795+G1795+H1795+I1795+J1795+K1795+M1795+O1795+P1795+Q1795+R1795+S1795),2)</f>
        <v>6562164.1600000001</v>
      </c>
      <c r="D1795" s="18"/>
      <c r="E1795" s="18"/>
      <c r="F1795" s="18"/>
      <c r="G1795" s="18">
        <v>2191986.0499999998</v>
      </c>
      <c r="H1795" s="18">
        <v>817446.09</v>
      </c>
      <c r="I1795" s="18">
        <v>330378.43</v>
      </c>
      <c r="J1795" s="18"/>
      <c r="K1795" s="18"/>
      <c r="L1795" s="10"/>
      <c r="M1795" s="18"/>
      <c r="N1795" s="10"/>
      <c r="O1795" s="18"/>
      <c r="P1795" s="18">
        <v>3222353.59</v>
      </c>
      <c r="Q1795" s="18"/>
      <c r="R1795" s="18"/>
      <c r="S1795" s="18"/>
    </row>
    <row r="1796" spans="1:19" x14ac:dyDescent="0.25">
      <c r="A1796" s="33"/>
      <c r="B1796" s="33" t="s">
        <v>2041</v>
      </c>
      <c r="C1796" s="18">
        <f>ROUND(D1796+E1796+F1796+G1796+H1796+I1796+J1796+K1796+M1796+O1796+P1796+Q1796+R1796+S1796,2)</f>
        <v>15813812.619999999</v>
      </c>
      <c r="D1796" s="18">
        <f t="shared" ref="D1796:S1796" si="140">SUM(D1792:D1795)</f>
        <v>0</v>
      </c>
      <c r="E1796" s="18">
        <f t="shared" si="140"/>
        <v>0</v>
      </c>
      <c r="F1796" s="18">
        <f t="shared" si="140"/>
        <v>0</v>
      </c>
      <c r="G1796" s="18">
        <f t="shared" si="140"/>
        <v>2191986.0499999998</v>
      </c>
      <c r="H1796" s="18">
        <f t="shared" si="140"/>
        <v>817446.09</v>
      </c>
      <c r="I1796" s="18">
        <f t="shared" si="140"/>
        <v>330378.43</v>
      </c>
      <c r="J1796" s="18">
        <f t="shared" si="140"/>
        <v>0</v>
      </c>
      <c r="K1796" s="18">
        <f t="shared" si="140"/>
        <v>0</v>
      </c>
      <c r="L1796" s="10">
        <f t="shared" si="140"/>
        <v>0</v>
      </c>
      <c r="M1796" s="18">
        <f t="shared" si="140"/>
        <v>0</v>
      </c>
      <c r="N1796" s="18" t="s">
        <v>42</v>
      </c>
      <c r="O1796" s="18">
        <f t="shared" si="140"/>
        <v>0</v>
      </c>
      <c r="P1796" s="18">
        <f t="shared" si="140"/>
        <v>12474002.050000001</v>
      </c>
      <c r="Q1796" s="18">
        <f t="shared" si="140"/>
        <v>0</v>
      </c>
      <c r="R1796" s="18">
        <f t="shared" si="140"/>
        <v>0</v>
      </c>
      <c r="S1796" s="18">
        <f t="shared" si="140"/>
        <v>0</v>
      </c>
    </row>
    <row r="1797" spans="1:19" x14ac:dyDescent="0.25">
      <c r="A1797" s="34"/>
      <c r="B1797" s="34" t="s">
        <v>1039</v>
      </c>
      <c r="C1797" s="18"/>
      <c r="D1797" s="13"/>
      <c r="E1797" s="13"/>
      <c r="F1797" s="13"/>
      <c r="G1797" s="13"/>
      <c r="H1797" s="13"/>
      <c r="I1797" s="13"/>
      <c r="J1797" s="13"/>
      <c r="K1797" s="13"/>
      <c r="L1797" s="14"/>
      <c r="M1797" s="13"/>
      <c r="N1797" s="14"/>
      <c r="O1797" s="13"/>
      <c r="P1797" s="13"/>
      <c r="Q1797" s="13"/>
      <c r="R1797" s="13"/>
      <c r="S1797" s="13"/>
    </row>
    <row r="1798" spans="1:19" x14ac:dyDescent="0.25">
      <c r="A1798" s="9" t="s">
        <v>567</v>
      </c>
      <c r="B1798" s="17" t="s">
        <v>1045</v>
      </c>
      <c r="C1798" s="18">
        <f t="shared" ref="C1798:C1806" si="141">ROUNDUP(SUM(D1798+E1798+F1798+G1798+H1798+I1798+J1798+K1798+M1798+O1798+P1798+Q1798+R1798+S1798),2)</f>
        <v>7004555.3899999997</v>
      </c>
      <c r="D1798" s="18">
        <v>137344.22</v>
      </c>
      <c r="E1798" s="18"/>
      <c r="F1798" s="18"/>
      <c r="G1798" s="18"/>
      <c r="H1798" s="18"/>
      <c r="I1798" s="18"/>
      <c r="J1798" s="18"/>
      <c r="K1798" s="18"/>
      <c r="L1798" s="10"/>
      <c r="M1798" s="18"/>
      <c r="N1798" s="10"/>
      <c r="O1798" s="18"/>
      <c r="P1798" s="18">
        <v>6867211.1699999999</v>
      </c>
      <c r="Q1798" s="18"/>
      <c r="R1798" s="18"/>
      <c r="S1798" s="18"/>
    </row>
    <row r="1799" spans="1:19" x14ac:dyDescent="0.25">
      <c r="A1799" s="9" t="s">
        <v>569</v>
      </c>
      <c r="B1799" s="17" t="s">
        <v>1055</v>
      </c>
      <c r="C1799" s="18">
        <f t="shared" si="141"/>
        <v>1124533.44</v>
      </c>
      <c r="D1799" s="18">
        <v>22049.68</v>
      </c>
      <c r="E1799" s="18"/>
      <c r="F1799" s="18"/>
      <c r="G1799" s="18"/>
      <c r="H1799" s="18"/>
      <c r="I1799" s="18"/>
      <c r="J1799" s="18">
        <v>690506.44</v>
      </c>
      <c r="K1799" s="18"/>
      <c r="L1799" s="10"/>
      <c r="M1799" s="18"/>
      <c r="N1799" s="10"/>
      <c r="O1799" s="18"/>
      <c r="P1799" s="18"/>
      <c r="Q1799" s="18"/>
      <c r="R1799" s="18"/>
      <c r="S1799" s="18">
        <v>411977.32</v>
      </c>
    </row>
    <row r="1800" spans="1:19" x14ac:dyDescent="0.25">
      <c r="A1800" s="9" t="s">
        <v>571</v>
      </c>
      <c r="B1800" s="17" t="s">
        <v>1057</v>
      </c>
      <c r="C1800" s="18">
        <f t="shared" si="141"/>
        <v>1297031.46</v>
      </c>
      <c r="D1800" s="18">
        <v>25431.99</v>
      </c>
      <c r="E1800" s="18"/>
      <c r="F1800" s="18"/>
      <c r="G1800" s="18"/>
      <c r="H1800" s="18"/>
      <c r="I1800" s="18"/>
      <c r="J1800" s="18">
        <v>882123.34</v>
      </c>
      <c r="K1800" s="18"/>
      <c r="L1800" s="10"/>
      <c r="M1800" s="18"/>
      <c r="N1800" s="10"/>
      <c r="O1800" s="18"/>
      <c r="P1800" s="18"/>
      <c r="Q1800" s="18"/>
      <c r="R1800" s="18"/>
      <c r="S1800" s="18">
        <v>389476.13</v>
      </c>
    </row>
    <row r="1801" spans="1:19" x14ac:dyDescent="0.25">
      <c r="A1801" s="9" t="s">
        <v>573</v>
      </c>
      <c r="B1801" s="17" t="s">
        <v>1065</v>
      </c>
      <c r="C1801" s="18">
        <f t="shared" si="141"/>
        <v>1491889.83</v>
      </c>
      <c r="D1801" s="18">
        <v>29252.74</v>
      </c>
      <c r="E1801" s="18"/>
      <c r="F1801" s="18"/>
      <c r="G1801" s="18"/>
      <c r="H1801" s="18"/>
      <c r="I1801" s="18"/>
      <c r="J1801" s="18"/>
      <c r="K1801" s="18"/>
      <c r="L1801" s="10"/>
      <c r="M1801" s="18"/>
      <c r="N1801" s="10"/>
      <c r="O1801" s="18"/>
      <c r="P1801" s="18">
        <v>1462637.09</v>
      </c>
      <c r="Q1801" s="18"/>
      <c r="R1801" s="18"/>
      <c r="S1801" s="18"/>
    </row>
    <row r="1802" spans="1:19" x14ac:dyDescent="0.25">
      <c r="A1802" s="9" t="s">
        <v>575</v>
      </c>
      <c r="B1802" s="17" t="s">
        <v>1073</v>
      </c>
      <c r="C1802" s="18">
        <f t="shared" si="141"/>
        <v>9178087.9499999993</v>
      </c>
      <c r="D1802" s="18">
        <v>179962.5</v>
      </c>
      <c r="E1802" s="18"/>
      <c r="F1802" s="18"/>
      <c r="G1802" s="18"/>
      <c r="H1802" s="18"/>
      <c r="I1802" s="18"/>
      <c r="J1802" s="18"/>
      <c r="K1802" s="18"/>
      <c r="L1802" s="10"/>
      <c r="M1802" s="18"/>
      <c r="N1802" s="10"/>
      <c r="O1802" s="18"/>
      <c r="P1802" s="18"/>
      <c r="Q1802" s="18"/>
      <c r="R1802" s="18">
        <v>8998125.4499999993</v>
      </c>
      <c r="S1802" s="18"/>
    </row>
    <row r="1803" spans="1:19" x14ac:dyDescent="0.25">
      <c r="A1803" s="9" t="s">
        <v>577</v>
      </c>
      <c r="B1803" s="17" t="s">
        <v>1075</v>
      </c>
      <c r="C1803" s="18">
        <f t="shared" si="141"/>
        <v>4833769.28</v>
      </c>
      <c r="D1803" s="18">
        <v>94779.79</v>
      </c>
      <c r="E1803" s="18"/>
      <c r="F1803" s="18"/>
      <c r="G1803" s="18">
        <v>4738989.49</v>
      </c>
      <c r="H1803" s="18"/>
      <c r="I1803" s="18"/>
      <c r="J1803" s="18"/>
      <c r="K1803" s="18"/>
      <c r="L1803" s="10"/>
      <c r="M1803" s="18"/>
      <c r="N1803" s="10"/>
      <c r="O1803" s="18"/>
      <c r="P1803" s="18"/>
      <c r="Q1803" s="18"/>
      <c r="R1803" s="18"/>
      <c r="S1803" s="18"/>
    </row>
    <row r="1804" spans="1:19" x14ac:dyDescent="0.25">
      <c r="A1804" s="9" t="s">
        <v>579</v>
      </c>
      <c r="B1804" s="17" t="s">
        <v>1077</v>
      </c>
      <c r="C1804" s="18">
        <f t="shared" si="141"/>
        <v>10199629.35</v>
      </c>
      <c r="D1804" s="18">
        <v>199992.73</v>
      </c>
      <c r="E1804" s="18"/>
      <c r="F1804" s="18"/>
      <c r="G1804" s="18"/>
      <c r="H1804" s="18"/>
      <c r="I1804" s="18"/>
      <c r="J1804" s="18"/>
      <c r="K1804" s="18"/>
      <c r="L1804" s="10"/>
      <c r="M1804" s="18"/>
      <c r="N1804" s="10" t="s">
        <v>883</v>
      </c>
      <c r="O1804" s="18">
        <v>9999636.6199999992</v>
      </c>
      <c r="P1804" s="18"/>
      <c r="Q1804" s="18"/>
      <c r="R1804" s="18"/>
      <c r="S1804" s="18"/>
    </row>
    <row r="1805" spans="1:19" x14ac:dyDescent="0.25">
      <c r="A1805" s="9" t="s">
        <v>581</v>
      </c>
      <c r="B1805" s="17" t="s">
        <v>1079</v>
      </c>
      <c r="C1805" s="18">
        <f t="shared" si="141"/>
        <v>1028701.67</v>
      </c>
      <c r="D1805" s="18">
        <v>20170.62</v>
      </c>
      <c r="E1805" s="18"/>
      <c r="F1805" s="18">
        <v>516661.3</v>
      </c>
      <c r="G1805" s="18"/>
      <c r="H1805" s="18"/>
      <c r="I1805" s="18"/>
      <c r="J1805" s="18">
        <v>491869.75</v>
      </c>
      <c r="K1805" s="18"/>
      <c r="L1805" s="10"/>
      <c r="M1805" s="18"/>
      <c r="N1805" s="10"/>
      <c r="O1805" s="18"/>
      <c r="P1805" s="18"/>
      <c r="Q1805" s="18"/>
      <c r="R1805" s="18"/>
      <c r="S1805" s="18"/>
    </row>
    <row r="1806" spans="1:19" x14ac:dyDescent="0.25">
      <c r="A1806" s="9" t="s">
        <v>583</v>
      </c>
      <c r="B1806" s="17" t="s">
        <v>1081</v>
      </c>
      <c r="C1806" s="18">
        <f t="shared" si="141"/>
        <v>2102679.2200000002</v>
      </c>
      <c r="D1806" s="18">
        <v>41229</v>
      </c>
      <c r="E1806" s="18"/>
      <c r="F1806" s="18">
        <v>1088372.05</v>
      </c>
      <c r="G1806" s="18"/>
      <c r="H1806" s="18"/>
      <c r="I1806" s="18"/>
      <c r="J1806" s="18">
        <v>973078.17</v>
      </c>
      <c r="K1806" s="18"/>
      <c r="L1806" s="10"/>
      <c r="M1806" s="18"/>
      <c r="N1806" s="10"/>
      <c r="O1806" s="18"/>
      <c r="P1806" s="18"/>
      <c r="Q1806" s="18"/>
      <c r="R1806" s="18"/>
      <c r="S1806" s="18"/>
    </row>
    <row r="1807" spans="1:19" ht="30" x14ac:dyDescent="0.25">
      <c r="A1807" s="33"/>
      <c r="B1807" s="33" t="s">
        <v>2042</v>
      </c>
      <c r="C1807" s="18">
        <f>ROUND(D1807+E1807+F1807+G1807+H1807+I1807+J1807+K1807+M1807+O1807+P1807+Q1807+R1807+S1807,2)</f>
        <v>38260877.590000004</v>
      </c>
      <c r="D1807" s="18">
        <f t="shared" ref="D1807:S1807" si="142">SUM(D1798:D1806)</f>
        <v>750213.27</v>
      </c>
      <c r="E1807" s="18">
        <f t="shared" si="142"/>
        <v>0</v>
      </c>
      <c r="F1807" s="18">
        <f t="shared" si="142"/>
        <v>1605033.35</v>
      </c>
      <c r="G1807" s="18">
        <f t="shared" si="142"/>
        <v>4738989.49</v>
      </c>
      <c r="H1807" s="18">
        <f t="shared" si="142"/>
        <v>0</v>
      </c>
      <c r="I1807" s="18">
        <f t="shared" si="142"/>
        <v>0</v>
      </c>
      <c r="J1807" s="18">
        <f t="shared" si="142"/>
        <v>3037577.6999999997</v>
      </c>
      <c r="K1807" s="18">
        <f t="shared" si="142"/>
        <v>0</v>
      </c>
      <c r="L1807" s="10">
        <f t="shared" si="142"/>
        <v>0</v>
      </c>
      <c r="M1807" s="18">
        <f t="shared" si="142"/>
        <v>0</v>
      </c>
      <c r="N1807" s="18" t="s">
        <v>42</v>
      </c>
      <c r="O1807" s="18">
        <f t="shared" si="142"/>
        <v>9999636.6199999992</v>
      </c>
      <c r="P1807" s="18">
        <f t="shared" si="142"/>
        <v>8329848.2599999998</v>
      </c>
      <c r="Q1807" s="18">
        <f t="shared" si="142"/>
        <v>0</v>
      </c>
      <c r="R1807" s="18">
        <f t="shared" si="142"/>
        <v>8998125.4499999993</v>
      </c>
      <c r="S1807" s="18">
        <f t="shared" si="142"/>
        <v>801453.45</v>
      </c>
    </row>
    <row r="1808" spans="1:19" x14ac:dyDescent="0.25">
      <c r="A1808" s="34"/>
      <c r="B1808" s="34" t="s">
        <v>1083</v>
      </c>
      <c r="C1808" s="18"/>
      <c r="D1808" s="13"/>
      <c r="E1808" s="13"/>
      <c r="F1808" s="13"/>
      <c r="G1808" s="13"/>
      <c r="H1808" s="13"/>
      <c r="I1808" s="13"/>
      <c r="J1808" s="13"/>
      <c r="K1808" s="13"/>
      <c r="L1808" s="14"/>
      <c r="M1808" s="13"/>
      <c r="N1808" s="14"/>
      <c r="O1808" s="13"/>
      <c r="P1808" s="13"/>
      <c r="Q1808" s="13"/>
      <c r="R1808" s="13"/>
      <c r="S1808" s="13"/>
    </row>
    <row r="1809" spans="1:19" x14ac:dyDescent="0.25">
      <c r="A1809" s="9" t="s">
        <v>585</v>
      </c>
      <c r="B1809" s="17" t="s">
        <v>1085</v>
      </c>
      <c r="C1809" s="18">
        <f t="shared" ref="C1809:C1829" si="143">ROUNDUP(SUM(D1809+E1809+F1809+G1809+H1809+I1809+J1809+K1809+M1809+O1809+P1809+Q1809+R1809+S1809),2)</f>
        <v>35578624.530000001</v>
      </c>
      <c r="D1809" s="18"/>
      <c r="E1809" s="18"/>
      <c r="F1809" s="18"/>
      <c r="G1809" s="18"/>
      <c r="H1809" s="18"/>
      <c r="I1809" s="18"/>
      <c r="J1809" s="18"/>
      <c r="K1809" s="18"/>
      <c r="L1809" s="10"/>
      <c r="M1809" s="18"/>
      <c r="N1809" s="10" t="s">
        <v>552</v>
      </c>
      <c r="O1809" s="18">
        <v>20965696.690000001</v>
      </c>
      <c r="P1809" s="18"/>
      <c r="Q1809" s="18">
        <v>14612927.84</v>
      </c>
      <c r="R1809" s="18"/>
      <c r="S1809" s="18"/>
    </row>
    <row r="1810" spans="1:19" x14ac:dyDescent="0.25">
      <c r="A1810" s="9" t="s">
        <v>587</v>
      </c>
      <c r="B1810" s="17" t="s">
        <v>1087</v>
      </c>
      <c r="C1810" s="18">
        <f t="shared" si="143"/>
        <v>2626626.2799999998</v>
      </c>
      <c r="D1810" s="18"/>
      <c r="E1810" s="18"/>
      <c r="F1810" s="18">
        <v>2626626.2799999998</v>
      </c>
      <c r="G1810" s="18"/>
      <c r="H1810" s="18"/>
      <c r="I1810" s="18"/>
      <c r="J1810" s="18"/>
      <c r="K1810" s="18"/>
      <c r="L1810" s="10"/>
      <c r="M1810" s="18"/>
      <c r="N1810" s="10"/>
      <c r="O1810" s="18"/>
      <c r="P1810" s="18"/>
      <c r="Q1810" s="18"/>
      <c r="R1810" s="18"/>
      <c r="S1810" s="18"/>
    </row>
    <row r="1811" spans="1:19" x14ac:dyDescent="0.25">
      <c r="A1811" s="9" t="s">
        <v>589</v>
      </c>
      <c r="B1811" s="17" t="s">
        <v>1089</v>
      </c>
      <c r="C1811" s="18">
        <f t="shared" si="143"/>
        <v>7441966.6699999999</v>
      </c>
      <c r="D1811" s="18"/>
      <c r="E1811" s="18"/>
      <c r="F1811" s="18"/>
      <c r="G1811" s="18"/>
      <c r="H1811" s="18"/>
      <c r="I1811" s="18"/>
      <c r="J1811" s="18"/>
      <c r="K1811" s="18"/>
      <c r="L1811" s="10"/>
      <c r="M1811" s="18"/>
      <c r="N1811" s="10" t="s">
        <v>552</v>
      </c>
      <c r="O1811" s="18">
        <v>7441966.6699999999</v>
      </c>
      <c r="P1811" s="18"/>
      <c r="Q1811" s="18"/>
      <c r="R1811" s="18"/>
      <c r="S1811" s="18"/>
    </row>
    <row r="1812" spans="1:19" x14ac:dyDescent="0.25">
      <c r="A1812" s="9" t="s">
        <v>591</v>
      </c>
      <c r="B1812" s="17" t="s">
        <v>1091</v>
      </c>
      <c r="C1812" s="18">
        <f>ROUNDUP(SUM(D1812+E1812+F1812+G1812+H1812+I1812+J1812+K1812+M1812+O1812+P1812+Q1812+R1812+S1812),2)</f>
        <v>40606692.539999999</v>
      </c>
      <c r="D1812" s="18"/>
      <c r="E1812" s="18"/>
      <c r="F1812" s="18">
        <v>9869752.9600000009</v>
      </c>
      <c r="G1812" s="18"/>
      <c r="H1812" s="18"/>
      <c r="I1812" s="18"/>
      <c r="J1812" s="18"/>
      <c r="K1812" s="18"/>
      <c r="L1812" s="10"/>
      <c r="M1812" s="18"/>
      <c r="N1812" s="10" t="s">
        <v>552</v>
      </c>
      <c r="O1812" s="18">
        <v>30736939.579999998</v>
      </c>
      <c r="P1812" s="18"/>
      <c r="Q1812" s="18"/>
      <c r="R1812" s="18"/>
      <c r="S1812" s="18"/>
    </row>
    <row r="1813" spans="1:19" x14ac:dyDescent="0.25">
      <c r="A1813" s="9" t="s">
        <v>593</v>
      </c>
      <c r="B1813" s="17" t="s">
        <v>1095</v>
      </c>
      <c r="C1813" s="18">
        <f t="shared" si="143"/>
        <v>11749293.460000001</v>
      </c>
      <c r="D1813" s="18"/>
      <c r="E1813" s="18"/>
      <c r="F1813" s="18">
        <v>11749293.460000001</v>
      </c>
      <c r="G1813" s="18"/>
      <c r="H1813" s="18"/>
      <c r="I1813" s="18"/>
      <c r="J1813" s="18"/>
      <c r="K1813" s="18"/>
      <c r="L1813" s="10"/>
      <c r="M1813" s="18"/>
      <c r="N1813" s="10"/>
      <c r="O1813" s="18"/>
      <c r="P1813" s="18"/>
      <c r="Q1813" s="18"/>
      <c r="R1813" s="18"/>
      <c r="S1813" s="18"/>
    </row>
    <row r="1814" spans="1:19" x14ac:dyDescent="0.25">
      <c r="A1814" s="9" t="s">
        <v>595</v>
      </c>
      <c r="B1814" s="17" t="s">
        <v>1099</v>
      </c>
      <c r="C1814" s="18">
        <f t="shared" si="143"/>
        <v>23790406.399999999</v>
      </c>
      <c r="D1814" s="18"/>
      <c r="E1814" s="18"/>
      <c r="F1814" s="18">
        <v>4454571.2</v>
      </c>
      <c r="G1814" s="18">
        <v>3443555.7</v>
      </c>
      <c r="H1814" s="18">
        <v>2173156.2200000002</v>
      </c>
      <c r="I1814" s="18">
        <v>609793.6</v>
      </c>
      <c r="J1814" s="18">
        <v>686315.9</v>
      </c>
      <c r="K1814" s="18"/>
      <c r="L1814" s="10"/>
      <c r="M1814" s="18"/>
      <c r="N1814" s="10" t="s">
        <v>883</v>
      </c>
      <c r="O1814" s="18">
        <v>12423013.779999999</v>
      </c>
      <c r="P1814" s="18"/>
      <c r="Q1814" s="18"/>
      <c r="R1814" s="18"/>
      <c r="S1814" s="18"/>
    </row>
    <row r="1815" spans="1:19" x14ac:dyDescent="0.25">
      <c r="A1815" s="9" t="s">
        <v>597</v>
      </c>
      <c r="B1815" s="17" t="s">
        <v>1103</v>
      </c>
      <c r="C1815" s="18">
        <f t="shared" si="143"/>
        <v>8238399.3099999996</v>
      </c>
      <c r="D1815" s="18"/>
      <c r="E1815" s="18"/>
      <c r="F1815" s="18"/>
      <c r="G1815" s="18"/>
      <c r="H1815" s="18">
        <v>803228.64</v>
      </c>
      <c r="I1815" s="18">
        <v>209140.44</v>
      </c>
      <c r="J1815" s="18">
        <v>254017.91</v>
      </c>
      <c r="K1815" s="18"/>
      <c r="L1815" s="10"/>
      <c r="M1815" s="18"/>
      <c r="N1815" s="10" t="s">
        <v>552</v>
      </c>
      <c r="O1815" s="18">
        <v>6972012.3200000003</v>
      </c>
      <c r="P1815" s="18"/>
      <c r="Q1815" s="18"/>
      <c r="R1815" s="18"/>
      <c r="S1815" s="18"/>
    </row>
    <row r="1816" spans="1:19" x14ac:dyDescent="0.25">
      <c r="A1816" s="9" t="s">
        <v>599</v>
      </c>
      <c r="B1816" s="55" t="s">
        <v>2043</v>
      </c>
      <c r="C1816" s="56">
        <f t="shared" si="143"/>
        <v>1730665.95</v>
      </c>
      <c r="D1816" s="56">
        <f>ROUNDUP(SUM(F1816+G1816+H1816+I1816+J1816+K1816+M1816+O1816+P1816+Q1816+R1816+S1816)*0.0214,2)</f>
        <v>34893.78</v>
      </c>
      <c r="E1816" s="18">
        <f>ROUNDUP(SUM(F1816+G1816+H1816+I1816+J1816+K1816+M1816+O1816+P1816+Q1816+R1816+S1816)*0.04,2)</f>
        <v>65222.01</v>
      </c>
      <c r="F1816" s="57"/>
      <c r="G1816" s="57"/>
      <c r="H1816" s="57"/>
      <c r="I1816" s="57"/>
      <c r="J1816" s="57"/>
      <c r="K1816" s="58">
        <v>1630550.16</v>
      </c>
      <c r="L1816" s="59"/>
      <c r="M1816" s="57"/>
      <c r="N1816" s="57"/>
      <c r="O1816" s="57"/>
      <c r="P1816" s="57"/>
      <c r="Q1816" s="60"/>
      <c r="R1816" s="57"/>
      <c r="S1816" s="57"/>
    </row>
    <row r="1817" spans="1:19" x14ac:dyDescent="0.25">
      <c r="A1817" s="9" t="s">
        <v>601</v>
      </c>
      <c r="B1817" s="17" t="s">
        <v>2044</v>
      </c>
      <c r="C1817" s="18">
        <f>ROUNDUP(SUM(D1817+E1817+F1817+G1817+H1817+I1817+J1817+K1817+M1817+O1817+P1817+Q1817+R1817+S1817),2)</f>
        <v>116955705.81999999</v>
      </c>
      <c r="D1817" s="18"/>
      <c r="E1817" s="18">
        <v>1598484.16</v>
      </c>
      <c r="F1817" s="18"/>
      <c r="G1817" s="18">
        <v>18645591.100000001</v>
      </c>
      <c r="H1817" s="18"/>
      <c r="I1817" s="18"/>
      <c r="J1817" s="18">
        <v>6243881.2300000004</v>
      </c>
      <c r="K1817" s="18"/>
      <c r="L1817" s="10"/>
      <c r="M1817" s="18"/>
      <c r="N1817" s="10"/>
      <c r="O1817" s="18"/>
      <c r="P1817" s="18">
        <v>6649424.96</v>
      </c>
      <c r="Q1817" s="18">
        <v>83818324.370000005</v>
      </c>
      <c r="R1817" s="18"/>
      <c r="S1817" s="18"/>
    </row>
    <row r="1818" spans="1:19" x14ac:dyDescent="0.25">
      <c r="A1818" s="9" t="s">
        <v>603</v>
      </c>
      <c r="B1818" s="17" t="s">
        <v>2045</v>
      </c>
      <c r="C1818" s="18">
        <f t="shared" si="143"/>
        <v>67955961.510000005</v>
      </c>
      <c r="D1818" s="18"/>
      <c r="E1818" s="18">
        <v>645023.48</v>
      </c>
      <c r="F1818" s="18"/>
      <c r="G1818" s="18">
        <v>26689028.68</v>
      </c>
      <c r="H1818" s="18">
        <v>10001571.869999999</v>
      </c>
      <c r="I1818" s="18">
        <v>3669020.25</v>
      </c>
      <c r="J1818" s="18">
        <v>9726665.6300000008</v>
      </c>
      <c r="K1818" s="18"/>
      <c r="L1818" s="10"/>
      <c r="M1818" s="18"/>
      <c r="N1818" s="10"/>
      <c r="O1818" s="18"/>
      <c r="P1818" s="18">
        <v>17224651.600000001</v>
      </c>
      <c r="Q1818" s="18"/>
      <c r="R1818" s="18"/>
      <c r="S1818" s="18"/>
    </row>
    <row r="1819" spans="1:19" x14ac:dyDescent="0.25">
      <c r="A1819" s="9" t="s">
        <v>605</v>
      </c>
      <c r="B1819" s="17" t="s">
        <v>1109</v>
      </c>
      <c r="C1819" s="18">
        <f t="shared" si="143"/>
        <v>19256685.640000001</v>
      </c>
      <c r="D1819" s="18"/>
      <c r="E1819" s="18"/>
      <c r="F1819" s="18"/>
      <c r="G1819" s="18"/>
      <c r="H1819" s="18"/>
      <c r="I1819" s="18"/>
      <c r="J1819" s="18"/>
      <c r="K1819" s="18"/>
      <c r="L1819" s="10"/>
      <c r="M1819" s="18"/>
      <c r="N1819" s="10"/>
      <c r="O1819" s="18"/>
      <c r="P1819" s="18"/>
      <c r="Q1819" s="18">
        <v>19256685.640000001</v>
      </c>
      <c r="R1819" s="18"/>
      <c r="S1819" s="18"/>
    </row>
    <row r="1820" spans="1:19" x14ac:dyDescent="0.25">
      <c r="A1820" s="9" t="s">
        <v>607</v>
      </c>
      <c r="B1820" s="17" t="s">
        <v>1119</v>
      </c>
      <c r="C1820" s="18">
        <f t="shared" si="143"/>
        <v>6987394.1600000001</v>
      </c>
      <c r="D1820" s="18"/>
      <c r="E1820" s="18"/>
      <c r="F1820" s="18"/>
      <c r="G1820" s="18"/>
      <c r="H1820" s="18"/>
      <c r="I1820" s="18"/>
      <c r="J1820" s="18"/>
      <c r="K1820" s="18"/>
      <c r="L1820" s="10"/>
      <c r="M1820" s="18"/>
      <c r="N1820" s="10"/>
      <c r="O1820" s="18"/>
      <c r="P1820" s="18">
        <v>6987394.1600000001</v>
      </c>
      <c r="Q1820" s="18"/>
      <c r="R1820" s="18"/>
      <c r="S1820" s="18"/>
    </row>
    <row r="1821" spans="1:19" x14ac:dyDescent="0.25">
      <c r="A1821" s="9" t="s">
        <v>609</v>
      </c>
      <c r="B1821" s="17" t="s">
        <v>1121</v>
      </c>
      <c r="C1821" s="18">
        <f>ROUNDUP(SUM(D1821+E1821+F1821+G1821+H1821+I1821+J1821+K1821+M1821+O1821+P1821+Q1821+R1821+S1821),2)</f>
        <v>47881459.850000001</v>
      </c>
      <c r="D1821" s="18"/>
      <c r="E1821" s="18"/>
      <c r="F1821" s="18">
        <v>6777878.7999999998</v>
      </c>
      <c r="G1821" s="18"/>
      <c r="H1821" s="18"/>
      <c r="I1821" s="18"/>
      <c r="J1821" s="18"/>
      <c r="K1821" s="18"/>
      <c r="L1821" s="10"/>
      <c r="M1821" s="18"/>
      <c r="N1821" s="10" t="s">
        <v>552</v>
      </c>
      <c r="O1821" s="18">
        <v>17983061</v>
      </c>
      <c r="P1821" s="18"/>
      <c r="Q1821" s="18">
        <v>23120520.050000001</v>
      </c>
      <c r="R1821" s="18"/>
      <c r="S1821" s="18"/>
    </row>
    <row r="1822" spans="1:19" x14ac:dyDescent="0.25">
      <c r="A1822" s="9" t="s">
        <v>611</v>
      </c>
      <c r="B1822" s="17" t="s">
        <v>1129</v>
      </c>
      <c r="C1822" s="18">
        <f t="shared" si="143"/>
        <v>20451127.280000001</v>
      </c>
      <c r="D1822" s="18"/>
      <c r="E1822" s="18"/>
      <c r="F1822" s="18">
        <v>3225831.42</v>
      </c>
      <c r="G1822" s="18">
        <v>4106197.05</v>
      </c>
      <c r="H1822" s="18">
        <v>1430004.7</v>
      </c>
      <c r="I1822" s="18">
        <v>771385.72</v>
      </c>
      <c r="J1822" s="18">
        <v>1058787.22</v>
      </c>
      <c r="K1822" s="18"/>
      <c r="L1822" s="10"/>
      <c r="M1822" s="18"/>
      <c r="N1822" s="10" t="s">
        <v>552</v>
      </c>
      <c r="O1822" s="18">
        <v>9858921.1699999999</v>
      </c>
      <c r="P1822" s="18"/>
      <c r="Q1822" s="18"/>
      <c r="R1822" s="18"/>
      <c r="S1822" s="18"/>
    </row>
    <row r="1823" spans="1:19" x14ac:dyDescent="0.25">
      <c r="A1823" s="9" t="s">
        <v>613</v>
      </c>
      <c r="B1823" s="17" t="s">
        <v>1131</v>
      </c>
      <c r="C1823" s="18">
        <f t="shared" si="143"/>
        <v>60524403.350000001</v>
      </c>
      <c r="D1823" s="18"/>
      <c r="E1823" s="18"/>
      <c r="F1823" s="18">
        <v>9885771.7599999998</v>
      </c>
      <c r="G1823" s="18">
        <v>14687457.789999999</v>
      </c>
      <c r="H1823" s="18">
        <v>4319793.55</v>
      </c>
      <c r="I1823" s="18">
        <v>2047329.22</v>
      </c>
      <c r="J1823" s="18">
        <v>4733258.6500000004</v>
      </c>
      <c r="K1823" s="18"/>
      <c r="L1823" s="10"/>
      <c r="M1823" s="18"/>
      <c r="N1823" s="10"/>
      <c r="O1823" s="18"/>
      <c r="P1823" s="18"/>
      <c r="Q1823" s="18">
        <v>24850792.379999999</v>
      </c>
      <c r="R1823" s="18"/>
      <c r="S1823" s="18"/>
    </row>
    <row r="1824" spans="1:19" s="2" customFormat="1" x14ac:dyDescent="0.25">
      <c r="A1824" s="9" t="s">
        <v>615</v>
      </c>
      <c r="B1824" s="17" t="s">
        <v>1135</v>
      </c>
      <c r="C1824" s="18">
        <f t="shared" si="143"/>
        <v>21873830.18</v>
      </c>
      <c r="D1824" s="18"/>
      <c r="E1824" s="18"/>
      <c r="F1824" s="18">
        <v>2092573.64</v>
      </c>
      <c r="G1824" s="18"/>
      <c r="H1824" s="18">
        <v>739896.79</v>
      </c>
      <c r="I1824" s="18">
        <v>430290.42</v>
      </c>
      <c r="J1824" s="18">
        <v>577194.93999999994</v>
      </c>
      <c r="K1824" s="18"/>
      <c r="L1824" s="10"/>
      <c r="M1824" s="18"/>
      <c r="N1824" s="10" t="s">
        <v>552</v>
      </c>
      <c r="O1824" s="18">
        <v>15839352.91</v>
      </c>
      <c r="P1824" s="18">
        <v>2194521.48</v>
      </c>
      <c r="Q1824" s="18"/>
      <c r="R1824" s="18"/>
      <c r="S1824" s="18"/>
    </row>
    <row r="1825" spans="1:19" x14ac:dyDescent="0.25">
      <c r="A1825" s="9" t="s">
        <v>617</v>
      </c>
      <c r="B1825" s="17" t="s">
        <v>1143</v>
      </c>
      <c r="C1825" s="18">
        <f t="shared" si="143"/>
        <v>49632869.350000001</v>
      </c>
      <c r="D1825" s="18"/>
      <c r="E1825" s="18"/>
      <c r="F1825" s="18"/>
      <c r="G1825" s="18"/>
      <c r="H1825" s="61">
        <v>5226744.83</v>
      </c>
      <c r="I1825" s="61">
        <v>2330682.48</v>
      </c>
      <c r="J1825" s="61">
        <v>3608682.52</v>
      </c>
      <c r="K1825" s="18"/>
      <c r="L1825" s="10"/>
      <c r="M1825" s="18"/>
      <c r="N1825" s="10" t="s">
        <v>552</v>
      </c>
      <c r="O1825" s="18">
        <v>14657207.66</v>
      </c>
      <c r="P1825" s="18"/>
      <c r="Q1825" s="18">
        <v>23809551.859999999</v>
      </c>
      <c r="R1825" s="18"/>
      <c r="S1825" s="18"/>
    </row>
    <row r="1826" spans="1:19" x14ac:dyDescent="0.25">
      <c r="A1826" s="9" t="s">
        <v>619</v>
      </c>
      <c r="B1826" s="17" t="s">
        <v>1153</v>
      </c>
      <c r="C1826" s="18">
        <f t="shared" si="143"/>
        <v>9801617.7100000009</v>
      </c>
      <c r="D1826" s="18"/>
      <c r="E1826" s="18"/>
      <c r="F1826" s="18">
        <v>2995293.62</v>
      </c>
      <c r="G1826" s="18">
        <v>3884084.84</v>
      </c>
      <c r="H1826" s="18">
        <v>1187881.8400000001</v>
      </c>
      <c r="I1826" s="18">
        <v>641713.30000000005</v>
      </c>
      <c r="J1826" s="18">
        <v>1092644.1100000001</v>
      </c>
      <c r="K1826" s="18"/>
      <c r="L1826" s="10"/>
      <c r="M1826" s="18"/>
      <c r="N1826" s="10"/>
      <c r="O1826" s="18"/>
      <c r="P1826" s="18"/>
      <c r="Q1826" s="18"/>
      <c r="R1826" s="18"/>
      <c r="S1826" s="18"/>
    </row>
    <row r="1827" spans="1:19" x14ac:dyDescent="0.25">
      <c r="A1827" s="9" t="s">
        <v>621</v>
      </c>
      <c r="B1827" s="17" t="s">
        <v>1161</v>
      </c>
      <c r="C1827" s="18">
        <f t="shared" si="143"/>
        <v>39143490.859999999</v>
      </c>
      <c r="D1827" s="18"/>
      <c r="E1827" s="18"/>
      <c r="F1827" s="18">
        <v>9987318.3800000008</v>
      </c>
      <c r="G1827" s="18">
        <v>13015781.08</v>
      </c>
      <c r="H1827" s="18">
        <v>7647452.9500000002</v>
      </c>
      <c r="I1827" s="18">
        <v>3212936.63</v>
      </c>
      <c r="J1827" s="18">
        <v>5280001.8199999994</v>
      </c>
      <c r="K1827" s="18"/>
      <c r="L1827" s="10"/>
      <c r="M1827" s="18"/>
      <c r="N1827" s="10" t="s">
        <v>552</v>
      </c>
      <c r="O1827" s="18"/>
      <c r="P1827" s="18"/>
      <c r="Q1827" s="18"/>
      <c r="R1827" s="18"/>
      <c r="S1827" s="18"/>
    </row>
    <row r="1828" spans="1:19" x14ac:dyDescent="0.25">
      <c r="A1828" s="9" t="s">
        <v>623</v>
      </c>
      <c r="B1828" s="17" t="s">
        <v>1165</v>
      </c>
      <c r="C1828" s="18">
        <f t="shared" si="143"/>
        <v>11933110.42</v>
      </c>
      <c r="D1828" s="18"/>
      <c r="E1828" s="18"/>
      <c r="F1828" s="18"/>
      <c r="G1828" s="18"/>
      <c r="H1828" s="18"/>
      <c r="I1828" s="18"/>
      <c r="J1828" s="18"/>
      <c r="K1828" s="18"/>
      <c r="L1828" s="10"/>
      <c r="M1828" s="18"/>
      <c r="N1828" s="10" t="s">
        <v>552</v>
      </c>
      <c r="O1828" s="18">
        <v>11933110.42</v>
      </c>
      <c r="P1828" s="18"/>
      <c r="Q1828" s="18"/>
      <c r="R1828" s="18"/>
      <c r="S1828" s="18"/>
    </row>
    <row r="1829" spans="1:19" x14ac:dyDescent="0.25">
      <c r="A1829" s="9" t="s">
        <v>625</v>
      </c>
      <c r="B1829" s="17" t="s">
        <v>1167</v>
      </c>
      <c r="C1829" s="18">
        <f t="shared" si="143"/>
        <v>3193627.68</v>
      </c>
      <c r="D1829" s="18"/>
      <c r="E1829" s="18"/>
      <c r="F1829" s="18">
        <v>3193627.68</v>
      </c>
      <c r="G1829" s="18"/>
      <c r="H1829" s="18"/>
      <c r="I1829" s="18"/>
      <c r="J1829" s="18"/>
      <c r="K1829" s="18"/>
      <c r="L1829" s="10"/>
      <c r="M1829" s="18"/>
      <c r="N1829" s="10"/>
      <c r="O1829" s="18"/>
      <c r="P1829" s="18"/>
      <c r="Q1829" s="18"/>
      <c r="R1829" s="18"/>
      <c r="S1829" s="18"/>
    </row>
    <row r="1830" spans="1:19" s="66" customFormat="1" x14ac:dyDescent="0.25">
      <c r="A1830" s="9" t="s">
        <v>627</v>
      </c>
      <c r="B1830" s="62" t="s">
        <v>1171</v>
      </c>
      <c r="C1830" s="63">
        <f>ROUND(D1830+E1830+F1830+G1830+H1830+I1830+J1830+K1830+M1830+O1830+P1830+Q1830+R1830+S1830,2)</f>
        <v>5242592.04</v>
      </c>
      <c r="D1830" s="63"/>
      <c r="E1830" s="63"/>
      <c r="F1830" s="64"/>
      <c r="G1830" s="61">
        <v>5242592.04</v>
      </c>
      <c r="H1830" s="64"/>
      <c r="I1830" s="64"/>
      <c r="J1830" s="64"/>
      <c r="K1830" s="64"/>
      <c r="L1830" s="65"/>
      <c r="M1830" s="64"/>
      <c r="N1830" s="63"/>
      <c r="O1830" s="63"/>
      <c r="P1830" s="64"/>
      <c r="Q1830" s="63"/>
      <c r="R1830" s="64"/>
      <c r="S1830" s="64"/>
    </row>
    <row r="1831" spans="1:19" s="70" customFormat="1" ht="15" customHeight="1" x14ac:dyDescent="0.25">
      <c r="A1831" s="9" t="s">
        <v>629</v>
      </c>
      <c r="B1831" s="67" t="s">
        <v>1173</v>
      </c>
      <c r="C1831" s="68">
        <f>ROUND(D1831+E1831+F1831+G1831+H1831+I1831+J1831+K1831+M1831+O1831+P1831+Q1831+R1831+S1831,2)</f>
        <v>16903077.969999999</v>
      </c>
      <c r="D1831" s="61"/>
      <c r="E1831" s="61"/>
      <c r="F1831" s="61">
        <v>5552011.21</v>
      </c>
      <c r="G1831" s="61">
        <v>7931724.2400000002</v>
      </c>
      <c r="H1831" s="61">
        <v>1437376.45</v>
      </c>
      <c r="I1831" s="61">
        <v>1087566.3500000001</v>
      </c>
      <c r="J1831" s="61">
        <v>894399.72</v>
      </c>
      <c r="K1831" s="61"/>
      <c r="L1831" s="69"/>
      <c r="M1831" s="61"/>
      <c r="N1831" s="69"/>
      <c r="O1831" s="61"/>
      <c r="P1831" s="61"/>
      <c r="Q1831" s="61"/>
      <c r="R1831" s="61"/>
      <c r="S1831" s="61"/>
    </row>
    <row r="1832" spans="1:19" x14ac:dyDescent="0.25">
      <c r="A1832" s="9" t="s">
        <v>631</v>
      </c>
      <c r="B1832" s="17" t="s">
        <v>1920</v>
      </c>
      <c r="C1832" s="18">
        <f t="shared" ref="C1832:C1871" si="144">ROUNDUP(SUM(D1832+E1832+F1832+G1832+H1832+I1832+J1832+K1832+M1832+O1832+P1832+Q1832+R1832+S1832),2)</f>
        <v>6565214.7999999998</v>
      </c>
      <c r="D1832" s="18"/>
      <c r="E1832" s="18"/>
      <c r="F1832" s="18"/>
      <c r="G1832" s="18"/>
      <c r="H1832" s="18"/>
      <c r="I1832" s="18"/>
      <c r="J1832" s="18"/>
      <c r="K1832" s="18"/>
      <c r="L1832" s="10"/>
      <c r="M1832" s="18"/>
      <c r="N1832" s="10" t="s">
        <v>552</v>
      </c>
      <c r="O1832" s="18">
        <v>6565214.7999999998</v>
      </c>
      <c r="P1832" s="18"/>
      <c r="Q1832" s="18"/>
      <c r="R1832" s="18"/>
      <c r="S1832" s="18"/>
    </row>
    <row r="1833" spans="1:19" x14ac:dyDescent="0.25">
      <c r="A1833" s="9" t="s">
        <v>633</v>
      </c>
      <c r="B1833" s="17" t="s">
        <v>1179</v>
      </c>
      <c r="C1833" s="18">
        <f t="shared" si="144"/>
        <v>18852940.399999999</v>
      </c>
      <c r="D1833" s="18"/>
      <c r="E1833" s="18"/>
      <c r="F1833" s="18">
        <v>4321194.0599999996</v>
      </c>
      <c r="G1833" s="18"/>
      <c r="H1833" s="18"/>
      <c r="I1833" s="18"/>
      <c r="J1833" s="18"/>
      <c r="K1833" s="18"/>
      <c r="L1833" s="10"/>
      <c r="M1833" s="18"/>
      <c r="N1833" s="10" t="s">
        <v>552</v>
      </c>
      <c r="O1833" s="18">
        <v>14531746.34</v>
      </c>
      <c r="P1833" s="18"/>
      <c r="Q1833" s="18"/>
      <c r="R1833" s="18"/>
      <c r="S1833" s="18"/>
    </row>
    <row r="1834" spans="1:19" x14ac:dyDescent="0.25">
      <c r="A1834" s="9" t="s">
        <v>635</v>
      </c>
      <c r="B1834" s="17" t="s">
        <v>1181</v>
      </c>
      <c r="C1834" s="18">
        <f t="shared" si="144"/>
        <v>4474640.78</v>
      </c>
      <c r="D1834" s="18"/>
      <c r="E1834" s="18"/>
      <c r="F1834" s="18">
        <v>4474640.78</v>
      </c>
      <c r="G1834" s="18"/>
      <c r="H1834" s="18"/>
      <c r="I1834" s="18"/>
      <c r="J1834" s="18"/>
      <c r="K1834" s="18"/>
      <c r="L1834" s="10"/>
      <c r="M1834" s="18"/>
      <c r="N1834" s="10"/>
      <c r="O1834" s="18"/>
      <c r="P1834" s="18"/>
      <c r="Q1834" s="18"/>
      <c r="R1834" s="18"/>
      <c r="S1834" s="18"/>
    </row>
    <row r="1835" spans="1:19" x14ac:dyDescent="0.25">
      <c r="A1835" s="9" t="s">
        <v>637</v>
      </c>
      <c r="B1835" s="17" t="s">
        <v>1187</v>
      </c>
      <c r="C1835" s="18">
        <f>ROUNDUP(SUM(D1835+E1835+F1835+G1835+H1835+I1835+J1835+K1835+M1835+O1835+P1835+Q1835+R1835+S1835),2)</f>
        <v>9608485.25</v>
      </c>
      <c r="D1835" s="18"/>
      <c r="E1835" s="18"/>
      <c r="F1835" s="18"/>
      <c r="G1835" s="18">
        <v>5927965.4299999997</v>
      </c>
      <c r="H1835" s="18">
        <v>1463039.14</v>
      </c>
      <c r="I1835" s="18">
        <v>921327.86</v>
      </c>
      <c r="J1835" s="18">
        <v>1296152.82</v>
      </c>
      <c r="K1835" s="18"/>
      <c r="L1835" s="10"/>
      <c r="M1835" s="18"/>
      <c r="N1835" s="10"/>
      <c r="O1835" s="18"/>
      <c r="P1835" s="18"/>
      <c r="Q1835" s="18"/>
      <c r="R1835" s="18"/>
      <c r="S1835" s="18"/>
    </row>
    <row r="1836" spans="1:19" ht="14.25" customHeight="1" x14ac:dyDescent="0.25">
      <c r="A1836" s="9" t="s">
        <v>639</v>
      </c>
      <c r="B1836" s="17" t="s">
        <v>1189</v>
      </c>
      <c r="C1836" s="18">
        <f t="shared" si="144"/>
        <v>17623643.940000001</v>
      </c>
      <c r="D1836" s="18"/>
      <c r="E1836" s="18"/>
      <c r="F1836" s="18">
        <v>6104520.6200000001</v>
      </c>
      <c r="G1836" s="18">
        <v>7525214.5099999998</v>
      </c>
      <c r="H1836" s="18">
        <v>2035981.37</v>
      </c>
      <c r="I1836" s="18">
        <v>860104.12</v>
      </c>
      <c r="J1836" s="18">
        <v>1097823.32</v>
      </c>
      <c r="K1836" s="18"/>
      <c r="L1836" s="10"/>
      <c r="M1836" s="18"/>
      <c r="N1836" s="10"/>
      <c r="O1836" s="18"/>
      <c r="P1836" s="18"/>
      <c r="Q1836" s="18"/>
      <c r="R1836" s="18"/>
      <c r="S1836" s="18"/>
    </row>
    <row r="1837" spans="1:19" x14ac:dyDescent="0.25">
      <c r="A1837" s="9" t="s">
        <v>641</v>
      </c>
      <c r="B1837" s="17" t="s">
        <v>2046</v>
      </c>
      <c r="C1837" s="18">
        <f t="shared" si="144"/>
        <v>27405712.899999999</v>
      </c>
      <c r="D1837" s="18">
        <f>ROUNDUP(SUM(F1837+G1837+H1837+I1837+J1837+K1837+M1837+O1837+P1837+Q1837+R1837+S1837)*0.0214,2)</f>
        <v>574194.5</v>
      </c>
      <c r="E1837" s="18"/>
      <c r="F1837" s="18"/>
      <c r="G1837" s="18"/>
      <c r="H1837" s="18"/>
      <c r="I1837" s="18"/>
      <c r="J1837" s="18"/>
      <c r="K1837" s="18"/>
      <c r="L1837" s="10"/>
      <c r="M1837" s="18"/>
      <c r="N1837" s="10"/>
      <c r="O1837" s="18"/>
      <c r="P1837" s="18"/>
      <c r="Q1837" s="18">
        <v>26831518.399999999</v>
      </c>
      <c r="R1837" s="18"/>
      <c r="S1837" s="18"/>
    </row>
    <row r="1838" spans="1:19" x14ac:dyDescent="0.25">
      <c r="A1838" s="9" t="s">
        <v>643</v>
      </c>
      <c r="B1838" s="17" t="s">
        <v>2069</v>
      </c>
      <c r="C1838" s="18">
        <f t="shared" si="144"/>
        <v>13503929.4</v>
      </c>
      <c r="D1838" s="18">
        <v>276509.40000000002</v>
      </c>
      <c r="E1838" s="18">
        <v>24000</v>
      </c>
      <c r="F1838" s="18"/>
      <c r="G1838" s="18"/>
      <c r="H1838" s="18"/>
      <c r="I1838" s="18"/>
      <c r="J1838" s="18"/>
      <c r="K1838" s="18"/>
      <c r="L1838" s="10">
        <v>3</v>
      </c>
      <c r="M1838" s="18">
        <v>13203420</v>
      </c>
      <c r="N1838" s="10"/>
      <c r="O1838" s="18"/>
      <c r="P1838" s="18"/>
      <c r="Q1838" s="18"/>
      <c r="R1838" s="18"/>
      <c r="S1838" s="18"/>
    </row>
    <row r="1839" spans="1:19" x14ac:dyDescent="0.25">
      <c r="A1839" s="9" t="s">
        <v>645</v>
      </c>
      <c r="B1839" s="17" t="s">
        <v>1193</v>
      </c>
      <c r="C1839" s="18">
        <f>ROUNDUP(SUM(D1839+E1839+F1839+G1839+H1839+I1839+J1839+K1839+M1839+O1839+P1839+Q1839+R1839+S1839),2)</f>
        <v>25489681.75</v>
      </c>
      <c r="D1839" s="18"/>
      <c r="E1839" s="18"/>
      <c r="F1839" s="18"/>
      <c r="G1839" s="18">
        <v>15001667.210000001</v>
      </c>
      <c r="H1839" s="18">
        <v>3982084.93</v>
      </c>
      <c r="I1839" s="18">
        <v>1941499.35</v>
      </c>
      <c r="J1839" s="18">
        <v>4564430.26</v>
      </c>
      <c r="K1839" s="18"/>
      <c r="L1839" s="10"/>
      <c r="M1839" s="18"/>
      <c r="N1839" s="10"/>
      <c r="O1839" s="18"/>
      <c r="P1839" s="18"/>
      <c r="Q1839" s="18"/>
      <c r="R1839" s="18"/>
      <c r="S1839" s="18"/>
    </row>
    <row r="1840" spans="1:19" x14ac:dyDescent="0.25">
      <c r="A1840" s="9" t="s">
        <v>647</v>
      </c>
      <c r="B1840" s="17" t="s">
        <v>1203</v>
      </c>
      <c r="C1840" s="18">
        <f t="shared" si="144"/>
        <v>6810179.8899999997</v>
      </c>
      <c r="D1840" s="18"/>
      <c r="E1840" s="18"/>
      <c r="F1840" s="18">
        <v>6810179.8899999997</v>
      </c>
      <c r="G1840" s="18"/>
      <c r="H1840" s="18"/>
      <c r="I1840" s="18"/>
      <c r="J1840" s="18"/>
      <c r="K1840" s="18"/>
      <c r="L1840" s="10"/>
      <c r="M1840" s="18"/>
      <c r="N1840" s="10"/>
      <c r="O1840" s="18"/>
      <c r="P1840" s="18"/>
      <c r="Q1840" s="18"/>
      <c r="R1840" s="18"/>
      <c r="S1840" s="18"/>
    </row>
    <row r="1841" spans="1:19" x14ac:dyDescent="0.25">
      <c r="A1841" s="9" t="s">
        <v>649</v>
      </c>
      <c r="B1841" s="17" t="s">
        <v>2047</v>
      </c>
      <c r="C1841" s="18">
        <f t="shared" si="144"/>
        <v>16764995.35</v>
      </c>
      <c r="D1841" s="18"/>
      <c r="E1841" s="18">
        <v>550005.91</v>
      </c>
      <c r="F1841" s="18"/>
      <c r="G1841" s="18"/>
      <c r="H1841" s="18">
        <v>3362041.11</v>
      </c>
      <c r="I1841" s="18">
        <v>1737785.9</v>
      </c>
      <c r="J1841" s="18">
        <v>2452414.9900000002</v>
      </c>
      <c r="K1841" s="18"/>
      <c r="L1841" s="10"/>
      <c r="M1841" s="18"/>
      <c r="N1841" s="10"/>
      <c r="O1841" s="18"/>
      <c r="P1841" s="18"/>
      <c r="Q1841" s="18">
        <v>8662747.4399999995</v>
      </c>
      <c r="R1841" s="18"/>
      <c r="S1841" s="18"/>
    </row>
    <row r="1842" spans="1:19" x14ac:dyDescent="0.25">
      <c r="A1842" s="9" t="s">
        <v>651</v>
      </c>
      <c r="B1842" s="17" t="s">
        <v>1207</v>
      </c>
      <c r="C1842" s="18">
        <f t="shared" si="144"/>
        <v>3558968.4</v>
      </c>
      <c r="D1842" s="18"/>
      <c r="E1842" s="18"/>
      <c r="F1842" s="18">
        <v>1507093.78</v>
      </c>
      <c r="G1842" s="18">
        <v>1625289.73</v>
      </c>
      <c r="H1842" s="18"/>
      <c r="I1842" s="18"/>
      <c r="J1842" s="18">
        <v>426584.89</v>
      </c>
      <c r="K1842" s="18"/>
      <c r="L1842" s="10"/>
      <c r="M1842" s="18"/>
      <c r="N1842" s="10"/>
      <c r="O1842" s="18"/>
      <c r="P1842" s="18"/>
      <c r="Q1842" s="18"/>
      <c r="R1842" s="18"/>
      <c r="S1842" s="18"/>
    </row>
    <row r="1843" spans="1:19" x14ac:dyDescent="0.25">
      <c r="A1843" s="9" t="s">
        <v>653</v>
      </c>
      <c r="B1843" s="17" t="s">
        <v>1209</v>
      </c>
      <c r="C1843" s="18">
        <f>ROUNDUP(SUM(D1843+E1843+F1843+G1843+H1843+I1843+J1843+K1843+M1843+O1843+P1843+Q1843+R1843+S1843),2)</f>
        <v>5284791.6399999997</v>
      </c>
      <c r="D1843" s="18"/>
      <c r="E1843" s="18"/>
      <c r="F1843" s="18">
        <v>2257622.5</v>
      </c>
      <c r="G1843" s="71">
        <v>2347531.67</v>
      </c>
      <c r="H1843" s="18"/>
      <c r="I1843" s="18"/>
      <c r="J1843" s="18">
        <v>679637.47</v>
      </c>
      <c r="K1843" s="18"/>
      <c r="L1843" s="10"/>
      <c r="M1843" s="18"/>
      <c r="N1843" s="10"/>
      <c r="O1843" s="18"/>
      <c r="P1843" s="18"/>
      <c r="Q1843" s="18"/>
      <c r="R1843" s="18"/>
      <c r="S1843" s="18"/>
    </row>
    <row r="1844" spans="1:19" x14ac:dyDescent="0.25">
      <c r="A1844" s="9" t="s">
        <v>655</v>
      </c>
      <c r="B1844" s="17" t="s">
        <v>1219</v>
      </c>
      <c r="C1844" s="18">
        <f t="shared" si="144"/>
        <v>86166042.829999998</v>
      </c>
      <c r="D1844" s="18"/>
      <c r="E1844" s="18"/>
      <c r="F1844" s="18"/>
      <c r="G1844" s="18"/>
      <c r="H1844" s="18"/>
      <c r="I1844" s="18"/>
      <c r="J1844" s="18"/>
      <c r="K1844" s="18"/>
      <c r="L1844" s="10"/>
      <c r="M1844" s="18"/>
      <c r="N1844" s="10" t="s">
        <v>552</v>
      </c>
      <c r="O1844" s="18"/>
      <c r="P1844" s="18"/>
      <c r="Q1844" s="18"/>
      <c r="R1844" s="18">
        <f>29273945.9+56892096.93</f>
        <v>86166042.829999998</v>
      </c>
      <c r="S1844" s="18"/>
    </row>
    <row r="1845" spans="1:19" x14ac:dyDescent="0.25">
      <c r="A1845" s="9" t="s">
        <v>657</v>
      </c>
      <c r="B1845" s="17" t="s">
        <v>1251</v>
      </c>
      <c r="C1845" s="18">
        <f t="shared" si="144"/>
        <v>28848583.809999999</v>
      </c>
      <c r="D1845" s="18"/>
      <c r="E1845" s="18"/>
      <c r="F1845" s="18">
        <v>6722492.0599999996</v>
      </c>
      <c r="G1845" s="18"/>
      <c r="H1845" s="18"/>
      <c r="I1845" s="18"/>
      <c r="J1845" s="18"/>
      <c r="K1845" s="18"/>
      <c r="L1845" s="10"/>
      <c r="M1845" s="18"/>
      <c r="N1845" s="10" t="s">
        <v>552</v>
      </c>
      <c r="O1845" s="18">
        <v>22126091.75</v>
      </c>
      <c r="P1845" s="18"/>
      <c r="Q1845" s="18"/>
      <c r="R1845" s="18"/>
      <c r="S1845" s="18"/>
    </row>
    <row r="1846" spans="1:19" x14ac:dyDescent="0.25">
      <c r="A1846" s="9" t="s">
        <v>659</v>
      </c>
      <c r="B1846" s="17" t="s">
        <v>1253</v>
      </c>
      <c r="C1846" s="18">
        <f t="shared" si="144"/>
        <v>4364558.13</v>
      </c>
      <c r="D1846" s="18"/>
      <c r="E1846" s="18"/>
      <c r="F1846" s="18">
        <v>4364558.13</v>
      </c>
      <c r="G1846" s="18"/>
      <c r="H1846" s="18"/>
      <c r="I1846" s="18"/>
      <c r="J1846" s="18"/>
      <c r="K1846" s="18"/>
      <c r="L1846" s="10"/>
      <c r="M1846" s="18"/>
      <c r="N1846" s="10"/>
      <c r="O1846" s="18"/>
      <c r="P1846" s="18"/>
      <c r="Q1846" s="18"/>
      <c r="R1846" s="18"/>
      <c r="S1846" s="18"/>
    </row>
    <row r="1847" spans="1:19" x14ac:dyDescent="0.25">
      <c r="A1847" s="9" t="s">
        <v>661</v>
      </c>
      <c r="B1847" s="17" t="s">
        <v>1257</v>
      </c>
      <c r="C1847" s="18">
        <f t="shared" si="144"/>
        <v>7611584.75</v>
      </c>
      <c r="D1847" s="18"/>
      <c r="E1847" s="18"/>
      <c r="F1847" s="18"/>
      <c r="G1847" s="18"/>
      <c r="H1847" s="18">
        <v>5975248.7300000004</v>
      </c>
      <c r="I1847" s="18">
        <v>1636336.02</v>
      </c>
      <c r="J1847" s="18"/>
      <c r="K1847" s="18"/>
      <c r="L1847" s="10"/>
      <c r="M1847" s="18"/>
      <c r="N1847" s="10"/>
      <c r="O1847" s="18"/>
      <c r="P1847" s="18"/>
      <c r="Q1847" s="18"/>
      <c r="R1847" s="18"/>
      <c r="S1847" s="18"/>
    </row>
    <row r="1848" spans="1:19" x14ac:dyDescent="0.25">
      <c r="A1848" s="9" t="s">
        <v>663</v>
      </c>
      <c r="B1848" s="17" t="s">
        <v>1259</v>
      </c>
      <c r="C1848" s="18">
        <f t="shared" si="144"/>
        <v>11525820.960000001</v>
      </c>
      <c r="D1848" s="18"/>
      <c r="E1848" s="18"/>
      <c r="F1848" s="18"/>
      <c r="G1848" s="18"/>
      <c r="H1848" s="18"/>
      <c r="I1848" s="18"/>
      <c r="J1848" s="18"/>
      <c r="K1848" s="18"/>
      <c r="L1848" s="10"/>
      <c r="M1848" s="18"/>
      <c r="N1848" s="10" t="s">
        <v>552</v>
      </c>
      <c r="O1848" s="18">
        <v>11525820.960000001</v>
      </c>
      <c r="P1848" s="18"/>
      <c r="Q1848" s="18"/>
      <c r="R1848" s="18"/>
      <c r="S1848" s="18"/>
    </row>
    <row r="1849" spans="1:19" x14ac:dyDescent="0.25">
      <c r="A1849" s="9" t="s">
        <v>665</v>
      </c>
      <c r="B1849" s="17" t="s">
        <v>1261</v>
      </c>
      <c r="C1849" s="18">
        <f>ROUNDUP(SUM(D1849+E1849+F1849+G1849+H1849+I1849+J1849+K1849+M1849+O1849+P1849+Q1849+R1849+S1849),2)</f>
        <v>21965541.66</v>
      </c>
      <c r="D1849" s="18"/>
      <c r="E1849" s="18"/>
      <c r="F1849" s="18">
        <v>5945105.6600000001</v>
      </c>
      <c r="G1849" s="18">
        <v>8021043.2000000002</v>
      </c>
      <c r="H1849" s="18">
        <v>3561757.56</v>
      </c>
      <c r="I1849" s="18">
        <v>1632905.8</v>
      </c>
      <c r="J1849" s="18">
        <v>2804729.44</v>
      </c>
      <c r="K1849" s="18"/>
      <c r="L1849" s="10"/>
      <c r="M1849" s="18"/>
      <c r="N1849" s="10"/>
      <c r="O1849" s="18"/>
      <c r="P1849" s="18"/>
      <c r="Q1849" s="18"/>
      <c r="R1849" s="18"/>
      <c r="S1849" s="18"/>
    </row>
    <row r="1850" spans="1:19" x14ac:dyDescent="0.25">
      <c r="A1850" s="9" t="s">
        <v>667</v>
      </c>
      <c r="B1850" s="17" t="s">
        <v>1265</v>
      </c>
      <c r="C1850" s="18">
        <f t="shared" si="144"/>
        <v>39230401.219999999</v>
      </c>
      <c r="D1850" s="18"/>
      <c r="E1850" s="18"/>
      <c r="F1850" s="18"/>
      <c r="G1850" s="18"/>
      <c r="H1850" s="18">
        <v>4464453.84</v>
      </c>
      <c r="I1850" s="18">
        <v>3130655.4</v>
      </c>
      <c r="J1850" s="18">
        <v>5150515.42</v>
      </c>
      <c r="K1850" s="18"/>
      <c r="L1850" s="10"/>
      <c r="M1850" s="18"/>
      <c r="N1850" s="10" t="s">
        <v>552</v>
      </c>
      <c r="O1850" s="18">
        <v>26484776.559999999</v>
      </c>
      <c r="P1850" s="18"/>
      <c r="Q1850" s="18"/>
      <c r="R1850" s="18"/>
      <c r="S1850" s="18"/>
    </row>
    <row r="1851" spans="1:19" x14ac:dyDescent="0.25">
      <c r="A1851" s="9" t="s">
        <v>669</v>
      </c>
      <c r="B1851" s="17" t="s">
        <v>1269</v>
      </c>
      <c r="C1851" s="18">
        <f t="shared" si="144"/>
        <v>7177240.2599999998</v>
      </c>
      <c r="D1851" s="18"/>
      <c r="E1851" s="18"/>
      <c r="F1851" s="18"/>
      <c r="G1851" s="18"/>
      <c r="H1851" s="18"/>
      <c r="I1851" s="18"/>
      <c r="J1851" s="18"/>
      <c r="K1851" s="18"/>
      <c r="L1851" s="10"/>
      <c r="M1851" s="18"/>
      <c r="N1851" s="10" t="s">
        <v>552</v>
      </c>
      <c r="O1851" s="18">
        <v>7177240.2599999998</v>
      </c>
      <c r="P1851" s="18"/>
      <c r="Q1851" s="18"/>
      <c r="R1851" s="18"/>
      <c r="S1851" s="18"/>
    </row>
    <row r="1852" spans="1:19" x14ac:dyDescent="0.25">
      <c r="A1852" s="9" t="s">
        <v>671</v>
      </c>
      <c r="B1852" s="17" t="s">
        <v>1271</v>
      </c>
      <c r="C1852" s="18">
        <f t="shared" si="144"/>
        <v>6897445.04</v>
      </c>
      <c r="D1852" s="18"/>
      <c r="E1852" s="18"/>
      <c r="F1852" s="18"/>
      <c r="G1852" s="18"/>
      <c r="H1852" s="18"/>
      <c r="I1852" s="18"/>
      <c r="J1852" s="18"/>
      <c r="K1852" s="18"/>
      <c r="L1852" s="10"/>
      <c r="M1852" s="18"/>
      <c r="N1852" s="10" t="s">
        <v>552</v>
      </c>
      <c r="O1852" s="18">
        <v>6897445.04</v>
      </c>
      <c r="P1852" s="18"/>
      <c r="Q1852" s="18"/>
      <c r="R1852" s="18"/>
      <c r="S1852" s="18"/>
    </row>
    <row r="1853" spans="1:19" x14ac:dyDescent="0.25">
      <c r="A1853" s="9" t="s">
        <v>673</v>
      </c>
      <c r="B1853" s="17" t="s">
        <v>1273</v>
      </c>
      <c r="C1853" s="18">
        <f>ROUNDUP(SUM(D1853+E1853+F1853+G1853+H1853+I1853+J1853+K1853+M1853+O1853+P1853+Q1853+R1853+S1853),2)</f>
        <v>3710067.62</v>
      </c>
      <c r="D1853" s="18"/>
      <c r="E1853" s="18"/>
      <c r="F1853" s="18"/>
      <c r="G1853" s="18"/>
      <c r="H1853" s="18"/>
      <c r="I1853" s="18"/>
      <c r="J1853" s="18"/>
      <c r="K1853" s="18"/>
      <c r="L1853" s="10"/>
      <c r="M1853" s="18"/>
      <c r="N1853" s="10"/>
      <c r="O1853" s="18"/>
      <c r="P1853" s="18">
        <v>3710067.62</v>
      </c>
      <c r="Q1853" s="18"/>
      <c r="R1853" s="18"/>
      <c r="S1853" s="18"/>
    </row>
    <row r="1854" spans="1:19" x14ac:dyDescent="0.25">
      <c r="A1854" s="9" t="s">
        <v>675</v>
      </c>
      <c r="B1854" s="17" t="s">
        <v>1275</v>
      </c>
      <c r="C1854" s="18">
        <f>ROUNDUP(SUM(D1854+E1854+F1854+G1854+H1854+I1854+J1854+K1854+M1854+O1854+P1854+Q1854+R1854+S1854),2)</f>
        <v>16645221.9</v>
      </c>
      <c r="D1854" s="18"/>
      <c r="E1854" s="18"/>
      <c r="F1854" s="18">
        <v>4887243.32</v>
      </c>
      <c r="G1854" s="18">
        <v>4742732.51</v>
      </c>
      <c r="H1854" s="18">
        <v>2885791.43</v>
      </c>
      <c r="I1854" s="18">
        <v>1457805.86</v>
      </c>
      <c r="J1854" s="18">
        <v>2671648.7799999998</v>
      </c>
      <c r="K1854" s="18"/>
      <c r="L1854" s="10"/>
      <c r="M1854" s="18"/>
      <c r="N1854" s="10"/>
      <c r="O1854" s="18"/>
      <c r="P1854" s="18"/>
      <c r="Q1854" s="18"/>
      <c r="R1854" s="18"/>
      <c r="S1854" s="18"/>
    </row>
    <row r="1855" spans="1:19" x14ac:dyDescent="0.25">
      <c r="A1855" s="9" t="s">
        <v>677</v>
      </c>
      <c r="B1855" s="17" t="s">
        <v>1277</v>
      </c>
      <c r="C1855" s="18">
        <f t="shared" si="144"/>
        <v>5025485.6100000003</v>
      </c>
      <c r="D1855" s="18"/>
      <c r="E1855" s="18"/>
      <c r="F1855" s="18">
        <v>5025485.6100000003</v>
      </c>
      <c r="G1855" s="18"/>
      <c r="H1855" s="18"/>
      <c r="I1855" s="18"/>
      <c r="J1855" s="18"/>
      <c r="K1855" s="18"/>
      <c r="L1855" s="10"/>
      <c r="M1855" s="18"/>
      <c r="N1855" s="10"/>
      <c r="O1855" s="18"/>
      <c r="P1855" s="18"/>
      <c r="Q1855" s="18"/>
      <c r="R1855" s="18"/>
      <c r="S1855" s="18"/>
    </row>
    <row r="1856" spans="1:19" s="73" customFormat="1" x14ac:dyDescent="0.25">
      <c r="A1856" s="9" t="s">
        <v>679</v>
      </c>
      <c r="B1856" s="23" t="s">
        <v>1279</v>
      </c>
      <c r="C1856" s="18">
        <f t="shared" si="144"/>
        <v>27048915.399999999</v>
      </c>
      <c r="D1856" s="51"/>
      <c r="E1856" s="51"/>
      <c r="F1856" s="51">
        <v>4803341.5599999996</v>
      </c>
      <c r="G1856" s="51">
        <v>4001168.04</v>
      </c>
      <c r="H1856" s="51">
        <v>1623860.66</v>
      </c>
      <c r="I1856" s="51">
        <v>782731.01</v>
      </c>
      <c r="J1856" s="72">
        <v>1460059.59</v>
      </c>
      <c r="K1856" s="51"/>
      <c r="L1856" s="52"/>
      <c r="M1856" s="51"/>
      <c r="N1856" s="52" t="s">
        <v>552</v>
      </c>
      <c r="O1856" s="51">
        <v>14377754.539999999</v>
      </c>
      <c r="P1856" s="51"/>
      <c r="Q1856" s="51"/>
      <c r="R1856" s="51"/>
      <c r="S1856" s="51"/>
    </row>
    <row r="1857" spans="1:19" x14ac:dyDescent="0.25">
      <c r="A1857" s="9" t="s">
        <v>681</v>
      </c>
      <c r="B1857" s="17" t="s">
        <v>1281</v>
      </c>
      <c r="C1857" s="18">
        <f t="shared" si="144"/>
        <v>7150297.6100000003</v>
      </c>
      <c r="D1857" s="18"/>
      <c r="E1857" s="18"/>
      <c r="F1857" s="18">
        <v>7150297.6100000003</v>
      </c>
      <c r="G1857" s="18"/>
      <c r="H1857" s="18"/>
      <c r="I1857" s="18"/>
      <c r="J1857" s="18"/>
      <c r="K1857" s="18"/>
      <c r="L1857" s="10"/>
      <c r="M1857" s="18"/>
      <c r="N1857" s="10"/>
      <c r="O1857" s="18"/>
      <c r="P1857" s="18"/>
      <c r="Q1857" s="18"/>
      <c r="R1857" s="18"/>
      <c r="S1857" s="18"/>
    </row>
    <row r="1858" spans="1:19" x14ac:dyDescent="0.25">
      <c r="A1858" s="9" t="s">
        <v>683</v>
      </c>
      <c r="B1858" s="17" t="s">
        <v>1283</v>
      </c>
      <c r="C1858" s="18">
        <f>ROUNDUP(SUM(D1858+E1858+F1858+G1858+H1858+I1858+J1858+K1858+M1858+O1858+P1858+Q1858+R1858+S1858),2)</f>
        <v>28683847.690000001</v>
      </c>
      <c r="D1858" s="18"/>
      <c r="E1858" s="18"/>
      <c r="F1858" s="18">
        <v>5298611.6500000004</v>
      </c>
      <c r="G1858" s="51">
        <v>5677583.1699999999</v>
      </c>
      <c r="H1858" s="18">
        <v>1363808.75</v>
      </c>
      <c r="I1858" s="18">
        <v>863206.26</v>
      </c>
      <c r="J1858" s="18">
        <v>1383522.18</v>
      </c>
      <c r="K1858" s="18"/>
      <c r="L1858" s="10"/>
      <c r="M1858" s="18"/>
      <c r="N1858" s="10" t="s">
        <v>552</v>
      </c>
      <c r="O1858" s="18">
        <v>14097115.68</v>
      </c>
      <c r="P1858" s="18"/>
      <c r="Q1858" s="18"/>
      <c r="R1858" s="18"/>
      <c r="S1858" s="18"/>
    </row>
    <row r="1859" spans="1:19" x14ac:dyDescent="0.25">
      <c r="A1859" s="9" t="s">
        <v>685</v>
      </c>
      <c r="B1859" s="17" t="s">
        <v>1289</v>
      </c>
      <c r="C1859" s="18">
        <f t="shared" si="144"/>
        <v>78972469.230000004</v>
      </c>
      <c r="D1859" s="18"/>
      <c r="E1859" s="18"/>
      <c r="F1859" s="18"/>
      <c r="G1859" s="18"/>
      <c r="H1859" s="18"/>
      <c r="I1859" s="18"/>
      <c r="J1859" s="18"/>
      <c r="K1859" s="18"/>
      <c r="L1859" s="10"/>
      <c r="M1859" s="18"/>
      <c r="N1859" s="10" t="s">
        <v>552</v>
      </c>
      <c r="O1859" s="18">
        <v>41537498.090000004</v>
      </c>
      <c r="P1859" s="18"/>
      <c r="Q1859" s="18">
        <v>37434971.140000001</v>
      </c>
      <c r="R1859" s="18"/>
      <c r="S1859" s="18"/>
    </row>
    <row r="1860" spans="1:19" x14ac:dyDescent="0.25">
      <c r="A1860" s="9" t="s">
        <v>687</v>
      </c>
      <c r="B1860" s="17" t="s">
        <v>1291</v>
      </c>
      <c r="C1860" s="18">
        <f t="shared" si="144"/>
        <v>36044227.450000003</v>
      </c>
      <c r="D1860" s="18"/>
      <c r="E1860" s="18"/>
      <c r="F1860" s="18">
        <v>3212120.1</v>
      </c>
      <c r="G1860" s="51">
        <v>19841387.710000001</v>
      </c>
      <c r="H1860" s="18">
        <f>4182258.58+1736061.53</f>
        <v>5918320.1100000003</v>
      </c>
      <c r="I1860" s="18">
        <f>1436475.05+826978.96</f>
        <v>2263454.0099999998</v>
      </c>
      <c r="J1860" s="18">
        <f>3046778.85+1762166.67</f>
        <v>4808945.5199999996</v>
      </c>
      <c r="K1860" s="18"/>
      <c r="L1860" s="10"/>
      <c r="M1860" s="18"/>
      <c r="N1860" s="10"/>
      <c r="O1860" s="18"/>
      <c r="P1860" s="18"/>
      <c r="Q1860" s="18"/>
      <c r="R1860" s="18"/>
      <c r="S1860" s="18"/>
    </row>
    <row r="1861" spans="1:19" x14ac:dyDescent="0.25">
      <c r="A1861" s="9" t="s">
        <v>689</v>
      </c>
      <c r="B1861" s="17" t="s">
        <v>1293</v>
      </c>
      <c r="C1861" s="18">
        <f>ROUNDUP(SUM(D1861+E1861+F1861+G1861+H1861+I1861+J1861+K1861+M1861+O1861+P1861+Q1861+R1861+S1861),2)</f>
        <v>27398447.66</v>
      </c>
      <c r="D1861" s="18"/>
      <c r="E1861" s="18"/>
      <c r="F1861" s="51">
        <v>3419303.57</v>
      </c>
      <c r="G1861" s="51">
        <v>5060944.5199999996</v>
      </c>
      <c r="H1861" s="18">
        <v>1607514.22</v>
      </c>
      <c r="I1861" s="18">
        <v>642211.54</v>
      </c>
      <c r="J1861" s="18">
        <v>1083553.2</v>
      </c>
      <c r="K1861" s="18"/>
      <c r="L1861" s="10"/>
      <c r="M1861" s="18"/>
      <c r="N1861" s="10" t="s">
        <v>552</v>
      </c>
      <c r="O1861" s="18">
        <v>11755147.810000001</v>
      </c>
      <c r="P1861" s="18">
        <v>3829772.8</v>
      </c>
      <c r="Q1861" s="18"/>
      <c r="R1861" s="18"/>
      <c r="S1861" s="18"/>
    </row>
    <row r="1862" spans="1:19" x14ac:dyDescent="0.25">
      <c r="A1862" s="9" t="s">
        <v>691</v>
      </c>
      <c r="B1862" s="17" t="s">
        <v>1295</v>
      </c>
      <c r="C1862" s="18">
        <f>ROUNDUP(SUM(D1862+E1862+F1862+G1862+H1862+I1862+J1862+K1862+M1862+O1862+P1862+Q1862+R1862+S1862),2)</f>
        <v>2872416.47</v>
      </c>
      <c r="D1862" s="18"/>
      <c r="E1862" s="18"/>
      <c r="F1862" s="18"/>
      <c r="G1862" s="18"/>
      <c r="H1862" s="18">
        <v>1498143.01</v>
      </c>
      <c r="I1862" s="18">
        <v>805401.34</v>
      </c>
      <c r="J1862" s="18">
        <v>568872.12</v>
      </c>
      <c r="K1862" s="18"/>
      <c r="L1862" s="10"/>
      <c r="M1862" s="18"/>
      <c r="N1862" s="10"/>
      <c r="O1862" s="18"/>
      <c r="P1862" s="18"/>
      <c r="Q1862" s="18"/>
      <c r="R1862" s="18"/>
      <c r="S1862" s="18"/>
    </row>
    <row r="1863" spans="1:19" x14ac:dyDescent="0.25">
      <c r="A1863" s="9" t="s">
        <v>693</v>
      </c>
      <c r="B1863" s="17" t="s">
        <v>1301</v>
      </c>
      <c r="C1863" s="18">
        <f t="shared" si="144"/>
        <v>3047016.78</v>
      </c>
      <c r="D1863" s="18"/>
      <c r="E1863" s="18"/>
      <c r="F1863" s="18"/>
      <c r="G1863" s="18">
        <v>3047016.78</v>
      </c>
      <c r="H1863" s="18"/>
      <c r="I1863" s="18"/>
      <c r="J1863" s="18"/>
      <c r="K1863" s="18"/>
      <c r="L1863" s="10"/>
      <c r="M1863" s="18"/>
      <c r="N1863" s="10"/>
      <c r="O1863" s="18"/>
      <c r="P1863" s="18"/>
      <c r="Q1863" s="18"/>
      <c r="R1863" s="18"/>
      <c r="S1863" s="18"/>
    </row>
    <row r="1864" spans="1:19" ht="15" customHeight="1" x14ac:dyDescent="0.25">
      <c r="A1864" s="9" t="s">
        <v>695</v>
      </c>
      <c r="B1864" s="17" t="s">
        <v>1305</v>
      </c>
      <c r="C1864" s="18">
        <f t="shared" si="144"/>
        <v>10691390.609999999</v>
      </c>
      <c r="D1864" s="18"/>
      <c r="E1864" s="18">
        <v>166351.46</v>
      </c>
      <c r="F1864" s="18">
        <v>10525039.15</v>
      </c>
      <c r="G1864" s="18"/>
      <c r="H1864" s="18"/>
      <c r="I1864" s="18"/>
      <c r="J1864" s="18"/>
      <c r="K1864" s="18"/>
      <c r="L1864" s="10"/>
      <c r="M1864" s="18"/>
      <c r="N1864" s="10"/>
      <c r="O1864" s="18"/>
      <c r="P1864" s="18"/>
      <c r="Q1864" s="18"/>
      <c r="R1864" s="18"/>
      <c r="S1864" s="18"/>
    </row>
    <row r="1865" spans="1:19" ht="15" customHeight="1" x14ac:dyDescent="0.25">
      <c r="A1865" s="9" t="s">
        <v>697</v>
      </c>
      <c r="B1865" s="17" t="s">
        <v>1307</v>
      </c>
      <c r="C1865" s="18">
        <f t="shared" si="144"/>
        <v>10443199.810000001</v>
      </c>
      <c r="D1865" s="18"/>
      <c r="E1865" s="18"/>
      <c r="F1865" s="18"/>
      <c r="G1865" s="18"/>
      <c r="H1865" s="18"/>
      <c r="I1865" s="18"/>
      <c r="J1865" s="18"/>
      <c r="K1865" s="18"/>
      <c r="L1865" s="10"/>
      <c r="M1865" s="18"/>
      <c r="N1865" s="10"/>
      <c r="O1865" s="18"/>
      <c r="P1865" s="18"/>
      <c r="Q1865" s="18">
        <v>10443199.810000001</v>
      </c>
      <c r="R1865" s="18"/>
      <c r="S1865" s="18"/>
    </row>
    <row r="1866" spans="1:19" x14ac:dyDescent="0.25">
      <c r="A1866" s="9" t="s">
        <v>699</v>
      </c>
      <c r="B1866" s="17" t="s">
        <v>1309</v>
      </c>
      <c r="C1866" s="18">
        <f t="shared" si="144"/>
        <v>9558924.6799999997</v>
      </c>
      <c r="D1866" s="18"/>
      <c r="E1866" s="18"/>
      <c r="F1866" s="18"/>
      <c r="G1866" s="18"/>
      <c r="H1866" s="18"/>
      <c r="I1866" s="18"/>
      <c r="J1866" s="18"/>
      <c r="K1866" s="18"/>
      <c r="L1866" s="10"/>
      <c r="M1866" s="18"/>
      <c r="N1866" s="10"/>
      <c r="O1866" s="18"/>
      <c r="P1866" s="18"/>
      <c r="Q1866" s="18">
        <v>9558924.6799999997</v>
      </c>
      <c r="R1866" s="18"/>
      <c r="S1866" s="18"/>
    </row>
    <row r="1867" spans="1:19" x14ac:dyDescent="0.25">
      <c r="A1867" s="9" t="s">
        <v>701</v>
      </c>
      <c r="B1867" s="17" t="s">
        <v>1315</v>
      </c>
      <c r="C1867" s="18">
        <f t="shared" si="144"/>
        <v>5476131.0099999998</v>
      </c>
      <c r="D1867" s="18"/>
      <c r="E1867" s="18"/>
      <c r="F1867" s="18"/>
      <c r="G1867" s="18"/>
      <c r="H1867" s="18">
        <v>2563322.4</v>
      </c>
      <c r="I1867" s="18">
        <v>1143023.2</v>
      </c>
      <c r="J1867" s="18">
        <v>1769785.41</v>
      </c>
      <c r="K1867" s="18"/>
      <c r="L1867" s="10"/>
      <c r="M1867" s="18"/>
      <c r="N1867" s="10"/>
      <c r="O1867" s="18"/>
      <c r="P1867" s="18"/>
      <c r="Q1867" s="18"/>
      <c r="R1867" s="18"/>
      <c r="S1867" s="18"/>
    </row>
    <row r="1868" spans="1:19" x14ac:dyDescent="0.25">
      <c r="A1868" s="9" t="s">
        <v>703</v>
      </c>
      <c r="B1868" s="17" t="s">
        <v>1325</v>
      </c>
      <c r="C1868" s="18">
        <f>ROUNDUP(SUM(D1868+E1868+F1868+G1868+H1868+I1868+J1868+K1868+M1868+O1868+P1868+Q1868+R1868+S1868),2)</f>
        <v>6700314.3499999996</v>
      </c>
      <c r="D1868" s="18"/>
      <c r="E1868" s="18"/>
      <c r="F1868" s="18"/>
      <c r="G1868" s="18">
        <v>3911588.39</v>
      </c>
      <c r="H1868" s="74">
        <v>1542348.8</v>
      </c>
      <c r="I1868" s="18">
        <v>645059.56000000006</v>
      </c>
      <c r="J1868" s="18">
        <v>601317.6</v>
      </c>
      <c r="K1868" s="18"/>
      <c r="L1868" s="10"/>
      <c r="M1868" s="18"/>
      <c r="N1868" s="10"/>
      <c r="O1868" s="18"/>
      <c r="P1868" s="18"/>
      <c r="Q1868" s="18"/>
      <c r="R1868" s="18"/>
      <c r="S1868" s="18"/>
    </row>
    <row r="1869" spans="1:19" x14ac:dyDescent="0.25">
      <c r="A1869" s="9" t="s">
        <v>705</v>
      </c>
      <c r="B1869" s="17" t="s">
        <v>1327</v>
      </c>
      <c r="C1869" s="18">
        <f t="shared" si="144"/>
        <v>7827555.7199999997</v>
      </c>
      <c r="D1869" s="18"/>
      <c r="E1869" s="18"/>
      <c r="F1869" s="18"/>
      <c r="G1869" s="18">
        <v>2640228.56</v>
      </c>
      <c r="H1869" s="18">
        <v>2457799.16</v>
      </c>
      <c r="I1869" s="18">
        <v>1032599.09</v>
      </c>
      <c r="J1869" s="18">
        <v>1696928.91</v>
      </c>
      <c r="K1869" s="18"/>
      <c r="L1869" s="10"/>
      <c r="M1869" s="18"/>
      <c r="N1869" s="10" t="s">
        <v>552</v>
      </c>
      <c r="O1869" s="18"/>
      <c r="P1869" s="18"/>
      <c r="Q1869" s="18"/>
      <c r="R1869" s="18"/>
      <c r="S1869" s="18"/>
    </row>
    <row r="1870" spans="1:19" x14ac:dyDescent="0.25">
      <c r="A1870" s="9" t="s">
        <v>707</v>
      </c>
      <c r="B1870" s="17" t="s">
        <v>1329</v>
      </c>
      <c r="C1870" s="18">
        <f>ROUNDUP(SUM(D1870+E1870+F1870+G1870+H1870+I1870+J1870+K1870+M1870+O1870+P1870+Q1870+R1870+S1870),2)</f>
        <v>7007163.1399999997</v>
      </c>
      <c r="D1870" s="18"/>
      <c r="E1870" s="18"/>
      <c r="F1870" s="18"/>
      <c r="G1870" s="18">
        <v>3749700.6</v>
      </c>
      <c r="H1870" s="18">
        <v>1564050.95</v>
      </c>
      <c r="I1870" s="18">
        <v>680113.92</v>
      </c>
      <c r="J1870" s="18">
        <v>1013297.67</v>
      </c>
      <c r="K1870" s="18"/>
      <c r="L1870" s="10"/>
      <c r="M1870" s="18"/>
      <c r="N1870" s="10" t="s">
        <v>552</v>
      </c>
      <c r="O1870" s="18"/>
      <c r="P1870" s="18"/>
      <c r="Q1870" s="18"/>
      <c r="R1870" s="18"/>
      <c r="S1870" s="18"/>
    </row>
    <row r="1871" spans="1:19" x14ac:dyDescent="0.25">
      <c r="A1871" s="9" t="s">
        <v>709</v>
      </c>
      <c r="B1871" s="17" t="s">
        <v>1331</v>
      </c>
      <c r="C1871" s="18">
        <f t="shared" si="144"/>
        <v>3437557.14</v>
      </c>
      <c r="D1871" s="18"/>
      <c r="E1871" s="18"/>
      <c r="F1871" s="18">
        <v>3437557.14</v>
      </c>
      <c r="G1871" s="18"/>
      <c r="H1871" s="18"/>
      <c r="I1871" s="18"/>
      <c r="J1871" s="18"/>
      <c r="K1871" s="18"/>
      <c r="L1871" s="10"/>
      <c r="M1871" s="18"/>
      <c r="N1871" s="10"/>
      <c r="O1871" s="18"/>
      <c r="P1871" s="18"/>
      <c r="Q1871" s="18"/>
      <c r="R1871" s="18"/>
      <c r="S1871" s="18"/>
    </row>
    <row r="1872" spans="1:19" x14ac:dyDescent="0.25">
      <c r="A1872" s="9" t="s">
        <v>711</v>
      </c>
      <c r="B1872" s="17" t="s">
        <v>1333</v>
      </c>
      <c r="C1872" s="18">
        <f t="shared" ref="C1872:C1888" si="145">ROUNDUP(SUM(D1872+E1872+F1872+G1872+H1872+I1872+J1872+K1872+M1872+O1872+P1872+Q1872+R1872+S1872),2)</f>
        <v>3430046.11</v>
      </c>
      <c r="D1872" s="18"/>
      <c r="E1872" s="18"/>
      <c r="F1872" s="18">
        <v>3430046.11</v>
      </c>
      <c r="G1872" s="18"/>
      <c r="H1872" s="18"/>
      <c r="I1872" s="18"/>
      <c r="J1872" s="18"/>
      <c r="K1872" s="18"/>
      <c r="L1872" s="10"/>
      <c r="M1872" s="18"/>
      <c r="N1872" s="10"/>
      <c r="O1872" s="18"/>
      <c r="P1872" s="18"/>
      <c r="Q1872" s="18"/>
      <c r="R1872" s="18"/>
      <c r="S1872" s="18"/>
    </row>
    <row r="1873" spans="1:19" x14ac:dyDescent="0.25">
      <c r="A1873" s="9" t="s">
        <v>713</v>
      </c>
      <c r="B1873" s="17" t="s">
        <v>2048</v>
      </c>
      <c r="C1873" s="18">
        <f t="shared" si="145"/>
        <v>63324463.689999998</v>
      </c>
      <c r="D1873" s="39"/>
      <c r="E1873" s="40">
        <v>738503.04</v>
      </c>
      <c r="F1873" s="40"/>
      <c r="G1873" s="40"/>
      <c r="H1873" s="40"/>
      <c r="I1873" s="40"/>
      <c r="J1873" s="40"/>
      <c r="K1873" s="40"/>
      <c r="L1873" s="28"/>
      <c r="M1873" s="40"/>
      <c r="N1873" s="40" t="s">
        <v>552</v>
      </c>
      <c r="O1873" s="45">
        <v>27908767.690000001</v>
      </c>
      <c r="P1873" s="40"/>
      <c r="Q1873" s="30">
        <v>34677192.960000001</v>
      </c>
      <c r="R1873" s="40"/>
      <c r="S1873" s="40"/>
    </row>
    <row r="1874" spans="1:19" x14ac:dyDescent="0.25">
      <c r="A1874" s="9" t="s">
        <v>715</v>
      </c>
      <c r="B1874" s="17" t="s">
        <v>1347</v>
      </c>
      <c r="C1874" s="18">
        <f t="shared" si="145"/>
        <v>3234915.77</v>
      </c>
      <c r="D1874" s="18"/>
      <c r="E1874" s="18"/>
      <c r="F1874" s="18"/>
      <c r="G1874" s="18">
        <v>3234915.77</v>
      </c>
      <c r="H1874" s="18"/>
      <c r="I1874" s="18"/>
      <c r="J1874" s="18"/>
      <c r="K1874" s="18"/>
      <c r="L1874" s="10"/>
      <c r="M1874" s="18"/>
      <c r="N1874" s="10"/>
      <c r="O1874" s="18"/>
      <c r="P1874" s="18"/>
      <c r="Q1874" s="18"/>
      <c r="R1874" s="18"/>
      <c r="S1874" s="18"/>
    </row>
    <row r="1875" spans="1:19" x14ac:dyDescent="0.25">
      <c r="A1875" s="9" t="s">
        <v>717</v>
      </c>
      <c r="B1875" s="17" t="s">
        <v>1353</v>
      </c>
      <c r="C1875" s="18">
        <f t="shared" si="145"/>
        <v>6832167.2000000002</v>
      </c>
      <c r="D1875" s="18"/>
      <c r="E1875" s="18"/>
      <c r="F1875" s="18">
        <v>4572787.16</v>
      </c>
      <c r="G1875" s="18"/>
      <c r="H1875" s="18"/>
      <c r="I1875" s="18"/>
      <c r="J1875" s="18"/>
      <c r="K1875" s="18"/>
      <c r="L1875" s="10"/>
      <c r="M1875" s="18"/>
      <c r="N1875" s="10"/>
      <c r="O1875" s="18"/>
      <c r="P1875" s="18">
        <v>2259380.04</v>
      </c>
      <c r="Q1875" s="18"/>
      <c r="R1875" s="18"/>
      <c r="S1875" s="18"/>
    </row>
    <row r="1876" spans="1:19" s="77" customFormat="1" ht="15" customHeight="1" x14ac:dyDescent="0.25">
      <c r="A1876" s="75" t="s">
        <v>719</v>
      </c>
      <c r="B1876" s="23" t="s">
        <v>2094</v>
      </c>
      <c r="C1876" s="51">
        <f t="shared" ref="C1876" si="146">ROUND(D1876+E1876+F1876+G1876+H1876+I1876+J1876+K1876+M1876+O1876+P1876+Q1876+R1876+S1876,2)</f>
        <v>181280</v>
      </c>
      <c r="D1876" s="51"/>
      <c r="E1876" s="51">
        <v>181280</v>
      </c>
      <c r="F1876" s="51"/>
      <c r="G1876" s="51"/>
      <c r="H1876" s="51"/>
      <c r="I1876" s="51"/>
      <c r="J1876" s="51"/>
      <c r="K1876" s="51"/>
      <c r="L1876" s="76"/>
      <c r="M1876" s="51"/>
      <c r="N1876" s="51"/>
      <c r="O1876" s="51"/>
      <c r="P1876" s="51"/>
      <c r="Q1876" s="51"/>
      <c r="R1876" s="61"/>
      <c r="S1876" s="51"/>
    </row>
    <row r="1877" spans="1:19" x14ac:dyDescent="0.25">
      <c r="A1877" s="9" t="s">
        <v>721</v>
      </c>
      <c r="B1877" s="17" t="s">
        <v>1359</v>
      </c>
      <c r="C1877" s="18">
        <f t="shared" si="145"/>
        <v>8681995.2400000002</v>
      </c>
      <c r="D1877" s="18"/>
      <c r="E1877" s="18"/>
      <c r="F1877" s="18">
        <v>4523572.3600000003</v>
      </c>
      <c r="G1877" s="18">
        <v>4158422.88</v>
      </c>
      <c r="H1877" s="18"/>
      <c r="I1877" s="18"/>
      <c r="J1877" s="18"/>
      <c r="K1877" s="18"/>
      <c r="L1877" s="10"/>
      <c r="M1877" s="18"/>
      <c r="N1877" s="10"/>
      <c r="O1877" s="18"/>
      <c r="P1877" s="18"/>
      <c r="Q1877" s="18"/>
      <c r="R1877" s="18"/>
      <c r="S1877" s="18"/>
    </row>
    <row r="1878" spans="1:19" x14ac:dyDescent="0.25">
      <c r="A1878" s="9" t="s">
        <v>723</v>
      </c>
      <c r="B1878" s="17" t="s">
        <v>1361</v>
      </c>
      <c r="C1878" s="18">
        <f t="shared" si="145"/>
        <v>26753648.579999998</v>
      </c>
      <c r="D1878" s="18"/>
      <c r="E1878" s="18"/>
      <c r="F1878" s="18">
        <v>4041201.92</v>
      </c>
      <c r="G1878" s="18">
        <v>3944080.28</v>
      </c>
      <c r="H1878" s="18">
        <v>1366534.36</v>
      </c>
      <c r="I1878" s="18">
        <v>674447.34</v>
      </c>
      <c r="J1878" s="18">
        <v>1076661.18</v>
      </c>
      <c r="K1878" s="18"/>
      <c r="L1878" s="10"/>
      <c r="M1878" s="18"/>
      <c r="N1878" s="10" t="s">
        <v>552</v>
      </c>
      <c r="O1878" s="18">
        <v>11110360.6</v>
      </c>
      <c r="P1878" s="18">
        <v>4540362.9000000004</v>
      </c>
      <c r="Q1878" s="18"/>
      <c r="R1878" s="18"/>
      <c r="S1878" s="18"/>
    </row>
    <row r="1879" spans="1:19" x14ac:dyDescent="0.25">
      <c r="A1879" s="9" t="s">
        <v>725</v>
      </c>
      <c r="B1879" s="17" t="s">
        <v>1369</v>
      </c>
      <c r="C1879" s="18">
        <f t="shared" si="145"/>
        <v>4545863.5599999996</v>
      </c>
      <c r="D1879" s="18"/>
      <c r="E1879" s="18"/>
      <c r="F1879" s="18">
        <v>4545863.5599999996</v>
      </c>
      <c r="G1879" s="18"/>
      <c r="H1879" s="18"/>
      <c r="I1879" s="18"/>
      <c r="J1879" s="18"/>
      <c r="K1879" s="18"/>
      <c r="L1879" s="10"/>
      <c r="M1879" s="18"/>
      <c r="N1879" s="10"/>
      <c r="O1879" s="18"/>
      <c r="P1879" s="18"/>
      <c r="Q1879" s="18"/>
      <c r="R1879" s="18"/>
      <c r="S1879" s="18"/>
    </row>
    <row r="1880" spans="1:19" x14ac:dyDescent="0.25">
      <c r="A1880" s="9" t="s">
        <v>727</v>
      </c>
      <c r="B1880" s="17" t="s">
        <v>1375</v>
      </c>
      <c r="C1880" s="18">
        <f>ROUNDUP(SUM(D1880+E1880+F1880+G1880+H1880+I1880+J1880+K1880+M1880+O1880+P1880+Q1880+R1880+S1880),2)</f>
        <v>5951263.8200000003</v>
      </c>
      <c r="D1880" s="18"/>
      <c r="E1880" s="18"/>
      <c r="F1880" s="18"/>
      <c r="G1880" s="18">
        <v>3414071.46</v>
      </c>
      <c r="H1880" s="18">
        <v>1637924.31</v>
      </c>
      <c r="I1880" s="18">
        <v>358706.04</v>
      </c>
      <c r="J1880" s="18">
        <v>540562.01</v>
      </c>
      <c r="K1880" s="18"/>
      <c r="L1880" s="10"/>
      <c r="M1880" s="18"/>
      <c r="N1880" s="10"/>
      <c r="O1880" s="18"/>
      <c r="P1880" s="18"/>
      <c r="Q1880" s="18"/>
      <c r="R1880" s="18"/>
      <c r="S1880" s="18"/>
    </row>
    <row r="1881" spans="1:19" x14ac:dyDescent="0.25">
      <c r="A1881" s="9" t="s">
        <v>729</v>
      </c>
      <c r="B1881" s="17" t="s">
        <v>1377</v>
      </c>
      <c r="C1881" s="18">
        <f t="shared" si="145"/>
        <v>28228930.84</v>
      </c>
      <c r="D1881" s="18"/>
      <c r="E1881" s="18"/>
      <c r="F1881" s="18">
        <v>5940209.79</v>
      </c>
      <c r="G1881" s="18"/>
      <c r="H1881" s="18"/>
      <c r="I1881" s="18"/>
      <c r="J1881" s="18"/>
      <c r="K1881" s="18"/>
      <c r="L1881" s="10"/>
      <c r="M1881" s="18"/>
      <c r="N1881" s="10" t="s">
        <v>552</v>
      </c>
      <c r="O1881" s="18">
        <v>22288721.050000001</v>
      </c>
      <c r="P1881" s="18"/>
      <c r="Q1881" s="18"/>
      <c r="R1881" s="18"/>
      <c r="S1881" s="18"/>
    </row>
    <row r="1882" spans="1:19" x14ac:dyDescent="0.25">
      <c r="A1882" s="9" t="s">
        <v>731</v>
      </c>
      <c r="B1882" s="17" t="s">
        <v>1381</v>
      </c>
      <c r="C1882" s="18">
        <f t="shared" si="145"/>
        <v>3303014.75</v>
      </c>
      <c r="D1882" s="18"/>
      <c r="E1882" s="18"/>
      <c r="F1882" s="18"/>
      <c r="G1882" s="18"/>
      <c r="H1882" s="18"/>
      <c r="I1882" s="18"/>
      <c r="J1882" s="18"/>
      <c r="K1882" s="18"/>
      <c r="L1882" s="10"/>
      <c r="M1882" s="18"/>
      <c r="N1882" s="10"/>
      <c r="O1882" s="18"/>
      <c r="P1882" s="18"/>
      <c r="Q1882" s="18"/>
      <c r="R1882" s="18">
        <v>3303014.75</v>
      </c>
      <c r="S1882" s="18"/>
    </row>
    <row r="1883" spans="1:19" x14ac:dyDescent="0.25">
      <c r="A1883" s="9" t="s">
        <v>733</v>
      </c>
      <c r="B1883" s="17" t="s">
        <v>1383</v>
      </c>
      <c r="C1883" s="18">
        <f t="shared" si="145"/>
        <v>7703269.7999999998</v>
      </c>
      <c r="D1883" s="18"/>
      <c r="E1883" s="18"/>
      <c r="F1883" s="18">
        <v>7703269.7999999998</v>
      </c>
      <c r="G1883" s="18"/>
      <c r="H1883" s="18"/>
      <c r="I1883" s="18"/>
      <c r="J1883" s="18"/>
      <c r="K1883" s="18"/>
      <c r="L1883" s="10"/>
      <c r="M1883" s="18"/>
      <c r="N1883" s="10"/>
      <c r="O1883" s="18"/>
      <c r="P1883" s="18"/>
      <c r="Q1883" s="18"/>
      <c r="R1883" s="18"/>
      <c r="S1883" s="18"/>
    </row>
    <row r="1884" spans="1:19" x14ac:dyDescent="0.25">
      <c r="A1884" s="9" t="s">
        <v>735</v>
      </c>
      <c r="B1884" s="17" t="s">
        <v>1385</v>
      </c>
      <c r="C1884" s="18">
        <f t="shared" si="145"/>
        <v>11270007.5</v>
      </c>
      <c r="D1884" s="18"/>
      <c r="E1884" s="18"/>
      <c r="F1884" s="18"/>
      <c r="G1884" s="18">
        <v>5387921.21</v>
      </c>
      <c r="H1884" s="18">
        <v>2216044.81</v>
      </c>
      <c r="I1884" s="18">
        <v>836431.38</v>
      </c>
      <c r="J1884" s="18">
        <v>2829610.1</v>
      </c>
      <c r="K1884" s="18"/>
      <c r="L1884" s="10"/>
      <c r="M1884" s="18"/>
      <c r="N1884" s="10"/>
      <c r="O1884" s="18"/>
      <c r="P1884" s="18"/>
      <c r="Q1884" s="18"/>
      <c r="R1884" s="18"/>
      <c r="S1884" s="18"/>
    </row>
    <row r="1885" spans="1:19" x14ac:dyDescent="0.25">
      <c r="A1885" s="9" t="s">
        <v>737</v>
      </c>
      <c r="B1885" s="17" t="s">
        <v>1387</v>
      </c>
      <c r="C1885" s="18">
        <f t="shared" si="145"/>
        <v>51935233.280000001</v>
      </c>
      <c r="D1885" s="18"/>
      <c r="E1885" s="18"/>
      <c r="F1885" s="18">
        <v>5466171.2199999997</v>
      </c>
      <c r="G1885" s="18">
        <v>7481511.75</v>
      </c>
      <c r="H1885" s="18">
        <v>1879078.15</v>
      </c>
      <c r="I1885" s="18">
        <v>863108.64</v>
      </c>
      <c r="J1885" s="18">
        <v>1854430.27</v>
      </c>
      <c r="K1885" s="18"/>
      <c r="L1885" s="10"/>
      <c r="M1885" s="18"/>
      <c r="N1885" s="10" t="s">
        <v>552</v>
      </c>
      <c r="O1885" s="18">
        <v>18936880.02</v>
      </c>
      <c r="P1885" s="18"/>
      <c r="Q1885" s="18">
        <v>15454053.23</v>
      </c>
      <c r="R1885" s="18"/>
      <c r="S1885" s="18"/>
    </row>
    <row r="1886" spans="1:19" x14ac:dyDescent="0.25">
      <c r="A1886" s="9" t="s">
        <v>739</v>
      </c>
      <c r="B1886" s="17" t="s">
        <v>1391</v>
      </c>
      <c r="C1886" s="18">
        <f t="shared" si="145"/>
        <v>4528409.71</v>
      </c>
      <c r="D1886" s="18"/>
      <c r="E1886" s="18"/>
      <c r="F1886" s="18">
        <v>4528409.71</v>
      </c>
      <c r="G1886" s="18"/>
      <c r="H1886" s="18"/>
      <c r="I1886" s="18"/>
      <c r="J1886" s="18"/>
      <c r="K1886" s="18"/>
      <c r="L1886" s="10"/>
      <c r="M1886" s="18"/>
      <c r="N1886" s="10"/>
      <c r="O1886" s="18"/>
      <c r="P1886" s="18"/>
      <c r="Q1886" s="18"/>
      <c r="R1886" s="18"/>
      <c r="S1886" s="18"/>
    </row>
    <row r="1887" spans="1:19" x14ac:dyDescent="0.25">
      <c r="A1887" s="9" t="s">
        <v>741</v>
      </c>
      <c r="B1887" s="17" t="s">
        <v>1399</v>
      </c>
      <c r="C1887" s="18">
        <f t="shared" si="145"/>
        <v>3882176.47</v>
      </c>
      <c r="D1887" s="18"/>
      <c r="E1887" s="18"/>
      <c r="F1887" s="18"/>
      <c r="G1887" s="18">
        <v>3882176.47</v>
      </c>
      <c r="H1887" s="18"/>
      <c r="I1887" s="18"/>
      <c r="J1887" s="18"/>
      <c r="K1887" s="18"/>
      <c r="L1887" s="10"/>
      <c r="M1887" s="18"/>
      <c r="N1887" s="10"/>
      <c r="O1887" s="18"/>
      <c r="P1887" s="18"/>
      <c r="Q1887" s="18"/>
      <c r="R1887" s="18"/>
      <c r="S1887" s="18"/>
    </row>
    <row r="1888" spans="1:19" x14ac:dyDescent="0.25">
      <c r="A1888" s="9" t="s">
        <v>743</v>
      </c>
      <c r="B1888" s="17" t="s">
        <v>1409</v>
      </c>
      <c r="C1888" s="18">
        <f t="shared" si="145"/>
        <v>11497500.800000001</v>
      </c>
      <c r="D1888" s="18"/>
      <c r="E1888" s="18"/>
      <c r="F1888" s="18"/>
      <c r="G1888" s="18">
        <v>2792662.04</v>
      </c>
      <c r="H1888" s="18">
        <v>2384647.7000000002</v>
      </c>
      <c r="I1888" s="18">
        <v>1001865.85</v>
      </c>
      <c r="J1888" s="18">
        <v>1646423.23</v>
      </c>
      <c r="K1888" s="18"/>
      <c r="L1888" s="10"/>
      <c r="M1888" s="18"/>
      <c r="N1888" s="10" t="s">
        <v>552</v>
      </c>
      <c r="O1888" s="18"/>
      <c r="P1888" s="18">
        <v>3671901.98</v>
      </c>
      <c r="Q1888" s="18"/>
      <c r="R1888" s="18"/>
      <c r="S1888" s="18"/>
    </row>
    <row r="1889" spans="1:19" x14ac:dyDescent="0.25">
      <c r="A1889" s="9" t="s">
        <v>745</v>
      </c>
      <c r="B1889" s="17" t="s">
        <v>1413</v>
      </c>
      <c r="C1889" s="18">
        <f>ROUNDUP(SUM(D1889+E1889+F1889+G1889+H1889+I1889+J1889+K1889+M1889+O1889+P1889+Q1889+R1889+S1889),2)</f>
        <v>8638903.2899999991</v>
      </c>
      <c r="D1889" s="18"/>
      <c r="E1889" s="18"/>
      <c r="F1889" s="18"/>
      <c r="G1889" s="18">
        <v>3969713.41</v>
      </c>
      <c r="H1889" s="18">
        <v>2062656.34</v>
      </c>
      <c r="I1889" s="18">
        <v>989553.76</v>
      </c>
      <c r="J1889" s="18">
        <v>1616979.78</v>
      </c>
      <c r="K1889" s="18"/>
      <c r="L1889" s="10"/>
      <c r="M1889" s="18"/>
      <c r="N1889" s="10" t="s">
        <v>552</v>
      </c>
      <c r="O1889" s="18"/>
      <c r="P1889" s="18"/>
      <c r="Q1889" s="18"/>
      <c r="R1889" s="18"/>
      <c r="S1889" s="18"/>
    </row>
    <row r="1890" spans="1:19" x14ac:dyDescent="0.25">
      <c r="A1890" s="9" t="s">
        <v>747</v>
      </c>
      <c r="B1890" s="17" t="s">
        <v>1415</v>
      </c>
      <c r="C1890" s="18">
        <f t="shared" ref="C1890:C1905" si="147">ROUNDUP(SUM(D1890+E1890+F1890+G1890+H1890+I1890+J1890+K1890+M1890+O1890+P1890+Q1890+R1890+S1890),2)</f>
        <v>8503476.3599999994</v>
      </c>
      <c r="D1890" s="18"/>
      <c r="E1890" s="18"/>
      <c r="F1890" s="18"/>
      <c r="G1890" s="18">
        <v>3951261.71</v>
      </c>
      <c r="H1890" s="18">
        <v>1917657.41</v>
      </c>
      <c r="I1890" s="18">
        <v>1004194.68</v>
      </c>
      <c r="J1890" s="18">
        <v>1630362.56</v>
      </c>
      <c r="K1890" s="18"/>
      <c r="L1890" s="10"/>
      <c r="M1890" s="18"/>
      <c r="N1890" s="10" t="s">
        <v>552</v>
      </c>
      <c r="O1890" s="18"/>
      <c r="P1890" s="18"/>
      <c r="Q1890" s="18"/>
      <c r="R1890" s="18"/>
      <c r="S1890" s="18"/>
    </row>
    <row r="1891" spans="1:19" x14ac:dyDescent="0.25">
      <c r="A1891" s="9" t="s">
        <v>749</v>
      </c>
      <c r="B1891" s="17" t="s">
        <v>2049</v>
      </c>
      <c r="C1891" s="18">
        <f t="shared" si="147"/>
        <v>39287882.18</v>
      </c>
      <c r="D1891" s="18"/>
      <c r="E1891" s="18"/>
      <c r="F1891" s="18"/>
      <c r="G1891" s="18"/>
      <c r="H1891" s="18"/>
      <c r="I1891" s="18"/>
      <c r="J1891" s="18"/>
      <c r="K1891" s="18"/>
      <c r="L1891" s="10"/>
      <c r="M1891" s="18"/>
      <c r="N1891" s="10"/>
      <c r="O1891" s="18"/>
      <c r="P1891" s="18"/>
      <c r="Q1891" s="18"/>
      <c r="R1891" s="74">
        <v>39287882.18</v>
      </c>
      <c r="S1891" s="18"/>
    </row>
    <row r="1892" spans="1:19" x14ac:dyDescent="0.25">
      <c r="A1892" s="9" t="s">
        <v>751</v>
      </c>
      <c r="B1892" s="17" t="s">
        <v>1427</v>
      </c>
      <c r="C1892" s="18">
        <f>ROUNDUP(SUM(D1892+E1892+F1892+G1892+H1892+I1892+J1892+K1892+M1892+O1892+P1892+Q1892+R1892+S1892),2)</f>
        <v>35753042.469999999</v>
      </c>
      <c r="D1892" s="18"/>
      <c r="E1892" s="18"/>
      <c r="F1892" s="18"/>
      <c r="G1892" s="18"/>
      <c r="H1892" s="18"/>
      <c r="I1892" s="18"/>
      <c r="J1892" s="18"/>
      <c r="K1892" s="18"/>
      <c r="L1892" s="10"/>
      <c r="M1892" s="18"/>
      <c r="N1892" s="10"/>
      <c r="O1892" s="18"/>
      <c r="P1892" s="18"/>
      <c r="Q1892" s="18"/>
      <c r="R1892" s="18">
        <v>35753042.469999999</v>
      </c>
      <c r="S1892" s="18"/>
    </row>
    <row r="1893" spans="1:19" x14ac:dyDescent="0.25">
      <c r="A1893" s="9" t="s">
        <v>753</v>
      </c>
      <c r="B1893" s="17" t="s">
        <v>1429</v>
      </c>
      <c r="C1893" s="18">
        <f>ROUNDUP(SUM(D1893+E1893+F1893+G1893+H1893+I1893+J1893+K1893+M1893+O1893+P1893+Q1893+R1893+S1893),2)</f>
        <v>5936245.6299999999</v>
      </c>
      <c r="D1893" s="18"/>
      <c r="E1893" s="18"/>
      <c r="F1893" s="18"/>
      <c r="G1893" s="18">
        <v>3653887.19</v>
      </c>
      <c r="H1893" s="18">
        <v>1633254.86</v>
      </c>
      <c r="I1893" s="18">
        <v>649103.57999999996</v>
      </c>
      <c r="J1893" s="18"/>
      <c r="K1893" s="18"/>
      <c r="L1893" s="10"/>
      <c r="M1893" s="18"/>
      <c r="N1893" s="10" t="s">
        <v>552</v>
      </c>
      <c r="O1893" s="18"/>
      <c r="P1893" s="18"/>
      <c r="Q1893" s="18"/>
      <c r="R1893" s="18"/>
      <c r="S1893" s="18"/>
    </row>
    <row r="1894" spans="1:19" x14ac:dyDescent="0.25">
      <c r="A1894" s="9" t="s">
        <v>755</v>
      </c>
      <c r="B1894" s="17" t="s">
        <v>2050</v>
      </c>
      <c r="C1894" s="18">
        <f t="shared" si="147"/>
        <v>46268999.439999998</v>
      </c>
      <c r="D1894" s="18"/>
      <c r="E1894" s="18"/>
      <c r="F1894" s="18"/>
      <c r="G1894" s="18"/>
      <c r="H1894" s="18"/>
      <c r="I1894" s="18"/>
      <c r="J1894" s="18"/>
      <c r="K1894" s="18"/>
      <c r="L1894" s="10"/>
      <c r="M1894" s="18"/>
      <c r="N1894" s="10"/>
      <c r="O1894" s="18"/>
      <c r="P1894" s="18"/>
      <c r="Q1894" s="18"/>
      <c r="R1894" s="18">
        <v>46268999.439999998</v>
      </c>
      <c r="S1894" s="18"/>
    </row>
    <row r="1895" spans="1:19" x14ac:dyDescent="0.25">
      <c r="A1895" s="9" t="s">
        <v>757</v>
      </c>
      <c r="B1895" s="17" t="s">
        <v>1455</v>
      </c>
      <c r="C1895" s="18">
        <f t="shared" si="147"/>
        <v>20481768.899999999</v>
      </c>
      <c r="D1895" s="18"/>
      <c r="E1895" s="18"/>
      <c r="F1895" s="18"/>
      <c r="G1895" s="18"/>
      <c r="H1895" s="18"/>
      <c r="I1895" s="18"/>
      <c r="J1895" s="18"/>
      <c r="K1895" s="18"/>
      <c r="L1895" s="10"/>
      <c r="M1895" s="18"/>
      <c r="N1895" s="10"/>
      <c r="O1895" s="18"/>
      <c r="P1895" s="18"/>
      <c r="Q1895" s="18"/>
      <c r="R1895" s="18">
        <v>20481768.899999999</v>
      </c>
      <c r="S1895" s="18"/>
    </row>
    <row r="1896" spans="1:19" x14ac:dyDescent="0.25">
      <c r="A1896" s="9" t="s">
        <v>761</v>
      </c>
      <c r="B1896" s="17" t="s">
        <v>1457</v>
      </c>
      <c r="C1896" s="18">
        <f>ROUNDUP(SUM(D1896+E1896+F1896+G1896+H1896+I1896+J1896+K1896+M1896+O1896+P1896+Q1896+R1896+S1896),2)</f>
        <v>3665391.36</v>
      </c>
      <c r="D1896" s="18"/>
      <c r="E1896" s="18"/>
      <c r="F1896" s="18"/>
      <c r="G1896" s="18"/>
      <c r="H1896" s="18">
        <v>1072414.32</v>
      </c>
      <c r="I1896" s="18">
        <v>411264.84</v>
      </c>
      <c r="J1896" s="18">
        <v>2181712.1999999997</v>
      </c>
      <c r="K1896" s="18"/>
      <c r="L1896" s="10"/>
      <c r="M1896" s="18"/>
      <c r="N1896" s="10"/>
      <c r="O1896" s="18"/>
      <c r="P1896" s="18"/>
      <c r="Q1896" s="18"/>
      <c r="R1896" s="18"/>
      <c r="S1896" s="18"/>
    </row>
    <row r="1897" spans="1:19" x14ac:dyDescent="0.25">
      <c r="A1897" s="9" t="s">
        <v>763</v>
      </c>
      <c r="B1897" s="17" t="s">
        <v>1459</v>
      </c>
      <c r="C1897" s="18">
        <f t="shared" si="147"/>
        <v>21974815.57</v>
      </c>
      <c r="D1897" s="18"/>
      <c r="E1897" s="18"/>
      <c r="F1897" s="18"/>
      <c r="G1897" s="74">
        <v>3866468.38</v>
      </c>
      <c r="H1897" s="74">
        <v>1568607.69</v>
      </c>
      <c r="I1897" s="18">
        <v>614370.97</v>
      </c>
      <c r="J1897" s="74">
        <v>928989.44</v>
      </c>
      <c r="K1897" s="18"/>
      <c r="L1897" s="10"/>
      <c r="M1897" s="18"/>
      <c r="N1897" s="10"/>
      <c r="O1897" s="18"/>
      <c r="P1897" s="18"/>
      <c r="Q1897" s="18">
        <v>14996379.09</v>
      </c>
      <c r="R1897" s="18"/>
      <c r="S1897" s="18"/>
    </row>
    <row r="1898" spans="1:19" x14ac:dyDescent="0.25">
      <c r="A1898" s="9" t="s">
        <v>765</v>
      </c>
      <c r="B1898" s="17" t="s">
        <v>2051</v>
      </c>
      <c r="C1898" s="18">
        <f t="shared" si="147"/>
        <v>21885480.23</v>
      </c>
      <c r="D1898" s="18"/>
      <c r="E1898" s="74">
        <v>570536.01</v>
      </c>
      <c r="F1898" s="18"/>
      <c r="G1898" s="18"/>
      <c r="H1898" s="18"/>
      <c r="I1898" s="18"/>
      <c r="J1898" s="18"/>
      <c r="K1898" s="18"/>
      <c r="L1898" s="10"/>
      <c r="M1898" s="18"/>
      <c r="N1898" s="10" t="s">
        <v>552</v>
      </c>
      <c r="O1898" s="18">
        <v>7638453.4900000002</v>
      </c>
      <c r="P1898" s="18"/>
      <c r="Q1898" s="18">
        <v>13676490.73</v>
      </c>
      <c r="R1898" s="18"/>
      <c r="S1898" s="18"/>
    </row>
    <row r="1899" spans="1:19" x14ac:dyDescent="0.25">
      <c r="A1899" s="9" t="s">
        <v>767</v>
      </c>
      <c r="B1899" s="17" t="s">
        <v>1471</v>
      </c>
      <c r="C1899" s="18">
        <f>ROUNDUP(SUM(D1899+E1899+F1899+G1899+H1899+I1899+J1899+K1899+M1899+O1899+P1899+Q1899+R1899+S1899),2)</f>
        <v>7448872.7199999997</v>
      </c>
      <c r="D1899" s="18"/>
      <c r="E1899" s="18"/>
      <c r="F1899" s="18"/>
      <c r="G1899" s="18"/>
      <c r="H1899" s="18"/>
      <c r="I1899" s="18"/>
      <c r="J1899" s="18"/>
      <c r="K1899" s="18"/>
      <c r="L1899" s="10"/>
      <c r="M1899" s="18"/>
      <c r="N1899" s="10" t="s">
        <v>552</v>
      </c>
      <c r="O1899" s="18">
        <v>7448872.7199999997</v>
      </c>
      <c r="P1899" s="18"/>
      <c r="Q1899" s="18"/>
      <c r="R1899" s="18"/>
      <c r="S1899" s="18"/>
    </row>
    <row r="1900" spans="1:19" ht="15" customHeight="1" x14ac:dyDescent="0.25">
      <c r="A1900" s="9" t="s">
        <v>769</v>
      </c>
      <c r="B1900" s="17" t="s">
        <v>1475</v>
      </c>
      <c r="C1900" s="18">
        <f t="shared" si="147"/>
        <v>6153743.3799999999</v>
      </c>
      <c r="D1900" s="18"/>
      <c r="E1900" s="18"/>
      <c r="F1900" s="18">
        <v>6153743.3799999999</v>
      </c>
      <c r="G1900" s="18"/>
      <c r="H1900" s="18"/>
      <c r="I1900" s="18"/>
      <c r="J1900" s="18"/>
      <c r="K1900" s="18"/>
      <c r="L1900" s="10"/>
      <c r="M1900" s="18"/>
      <c r="N1900" s="10"/>
      <c r="O1900" s="18"/>
      <c r="P1900" s="18"/>
      <c r="Q1900" s="18"/>
      <c r="R1900" s="18"/>
      <c r="S1900" s="18"/>
    </row>
    <row r="1901" spans="1:19" x14ac:dyDescent="0.25">
      <c r="A1901" s="9" t="s">
        <v>771</v>
      </c>
      <c r="B1901" s="17" t="s">
        <v>1481</v>
      </c>
      <c r="C1901" s="18">
        <f>ROUNDUP(SUM(D1901+E1901+F1901+G1901+H1901+I1901+J1901+K1901+M1901+O1901+P1901+Q1901+R1901+S1901),2)</f>
        <v>28035725.780000001</v>
      </c>
      <c r="D1901" s="18"/>
      <c r="E1901" s="18"/>
      <c r="F1901" s="18">
        <v>6388158.4800000004</v>
      </c>
      <c r="G1901" s="18">
        <v>5994106.5700000003</v>
      </c>
      <c r="H1901" s="18">
        <v>2081549.44</v>
      </c>
      <c r="I1901" s="18">
        <v>642511.97</v>
      </c>
      <c r="J1901" s="18">
        <v>1760994.09</v>
      </c>
      <c r="K1901" s="18"/>
      <c r="L1901" s="10"/>
      <c r="M1901" s="18"/>
      <c r="N1901" s="10" t="s">
        <v>552</v>
      </c>
      <c r="O1901" s="18">
        <v>11168405.23</v>
      </c>
      <c r="P1901" s="18"/>
      <c r="Q1901" s="18"/>
      <c r="R1901" s="18"/>
      <c r="S1901" s="18"/>
    </row>
    <row r="1902" spans="1:19" x14ac:dyDescent="0.25">
      <c r="A1902" s="9" t="s">
        <v>773</v>
      </c>
      <c r="B1902" s="17" t="s">
        <v>1483</v>
      </c>
      <c r="C1902" s="18">
        <f>ROUNDUP(SUM(D1902+E1902+F1902+G1902+H1902+I1902+J1902+K1902+M1902+O1902+P1902+Q1902+R1902+S1902),2)</f>
        <v>11736329.199999999</v>
      </c>
      <c r="D1902" s="18"/>
      <c r="E1902" s="18"/>
      <c r="F1902" s="18">
        <v>3803481.56</v>
      </c>
      <c r="G1902" s="18"/>
      <c r="H1902" s="18">
        <v>4039468.4</v>
      </c>
      <c r="I1902" s="18">
        <v>1584338.34</v>
      </c>
      <c r="J1902" s="18">
        <v>2309040.9</v>
      </c>
      <c r="K1902" s="18"/>
      <c r="L1902" s="10"/>
      <c r="M1902" s="18"/>
      <c r="N1902" s="10"/>
      <c r="O1902" s="18"/>
      <c r="P1902" s="18"/>
      <c r="Q1902" s="18"/>
      <c r="R1902" s="18"/>
      <c r="S1902" s="18"/>
    </row>
    <row r="1903" spans="1:19" x14ac:dyDescent="0.25">
      <c r="A1903" s="9" t="s">
        <v>775</v>
      </c>
      <c r="B1903" s="17" t="s">
        <v>1485</v>
      </c>
      <c r="C1903" s="18">
        <f t="shared" si="147"/>
        <v>6499345.54</v>
      </c>
      <c r="D1903" s="18"/>
      <c r="E1903" s="18"/>
      <c r="F1903" s="18">
        <v>6499345.54</v>
      </c>
      <c r="G1903" s="18"/>
      <c r="H1903" s="18"/>
      <c r="I1903" s="18"/>
      <c r="J1903" s="18"/>
      <c r="K1903" s="18"/>
      <c r="L1903" s="10"/>
      <c r="M1903" s="18"/>
      <c r="N1903" s="10"/>
      <c r="O1903" s="18"/>
      <c r="P1903" s="18"/>
      <c r="Q1903" s="18"/>
      <c r="R1903" s="18"/>
      <c r="S1903" s="18"/>
    </row>
    <row r="1904" spans="1:19" x14ac:dyDescent="0.25">
      <c r="A1904" s="9" t="s">
        <v>777</v>
      </c>
      <c r="B1904" s="17" t="s">
        <v>2052</v>
      </c>
      <c r="C1904" s="18">
        <f>ROUNDUP(SUM(D1904+E1904+F1904+G1904+H1904+I1904+J1904+K1904+M1904+O1904+P1904+Q1904+R1904+S1904),2)</f>
        <v>17948260.719999999</v>
      </c>
      <c r="D1904" s="18"/>
      <c r="E1904" s="18"/>
      <c r="F1904" s="18"/>
      <c r="G1904" s="18"/>
      <c r="H1904" s="18"/>
      <c r="I1904" s="18"/>
      <c r="J1904" s="18"/>
      <c r="K1904" s="18"/>
      <c r="L1904" s="10"/>
      <c r="M1904" s="18"/>
      <c r="N1904" s="10" t="s">
        <v>1898</v>
      </c>
      <c r="O1904" s="18">
        <v>17948260.719999999</v>
      </c>
      <c r="P1904" s="18"/>
      <c r="Q1904" s="18"/>
      <c r="R1904" s="18"/>
      <c r="S1904" s="18"/>
    </row>
    <row r="1905" spans="1:19" ht="15" customHeight="1" x14ac:dyDescent="0.25">
      <c r="A1905" s="9" t="s">
        <v>779</v>
      </c>
      <c r="B1905" s="17" t="s">
        <v>2053</v>
      </c>
      <c r="C1905" s="18">
        <f t="shared" si="147"/>
        <v>40275955.829999998</v>
      </c>
      <c r="D1905" s="18"/>
      <c r="E1905" s="18">
        <v>267849.84999999998</v>
      </c>
      <c r="F1905" s="18"/>
      <c r="G1905" s="18"/>
      <c r="H1905" s="18"/>
      <c r="I1905" s="18"/>
      <c r="J1905" s="18"/>
      <c r="K1905" s="18"/>
      <c r="L1905" s="10"/>
      <c r="M1905" s="18"/>
      <c r="N1905" s="10"/>
      <c r="O1905" s="18"/>
      <c r="P1905" s="18"/>
      <c r="Q1905" s="18"/>
      <c r="R1905" s="18">
        <v>40008105.979999997</v>
      </c>
      <c r="S1905" s="18"/>
    </row>
    <row r="1906" spans="1:19" ht="15" customHeight="1" x14ac:dyDescent="0.25">
      <c r="A1906" s="9" t="s">
        <v>781</v>
      </c>
      <c r="B1906" s="17" t="s">
        <v>1487</v>
      </c>
      <c r="C1906" s="18">
        <f>ROUNDUP(SUM(D1906+E1906+F1906+G1906+H1906+I1906+J1906+K1906+M1906+O1906+P1906+Q1906+R1906+S1906),2)</f>
        <v>7897285.2800000003</v>
      </c>
      <c r="D1906" s="18"/>
      <c r="E1906" s="18"/>
      <c r="F1906" s="18"/>
      <c r="G1906" s="18"/>
      <c r="H1906" s="18"/>
      <c r="I1906" s="18"/>
      <c r="J1906" s="18"/>
      <c r="K1906" s="18"/>
      <c r="L1906" s="10"/>
      <c r="M1906" s="18"/>
      <c r="N1906" s="10" t="s">
        <v>552</v>
      </c>
      <c r="O1906" s="18">
        <v>7897285.2800000003</v>
      </c>
      <c r="P1906" s="18"/>
      <c r="Q1906" s="18"/>
      <c r="R1906" s="18"/>
      <c r="S1906" s="18"/>
    </row>
    <row r="1907" spans="1:19" x14ac:dyDescent="0.25">
      <c r="A1907" s="9" t="s">
        <v>783</v>
      </c>
      <c r="B1907" s="17" t="s">
        <v>1491</v>
      </c>
      <c r="C1907" s="18">
        <f>ROUNDUP(SUM(D1907+E1907+F1907+G1907+H1907+I1907+J1907+K1907+M1907+O1907+P1907+Q1907+R1907+S1907),2)</f>
        <v>6326325.8499999996</v>
      </c>
      <c r="D1907" s="18"/>
      <c r="E1907" s="18"/>
      <c r="F1907" s="18">
        <v>3274704.78</v>
      </c>
      <c r="G1907" s="18"/>
      <c r="H1907" s="18">
        <v>1774350</v>
      </c>
      <c r="I1907" s="18">
        <v>810061.02</v>
      </c>
      <c r="J1907" s="18">
        <v>467210.05</v>
      </c>
      <c r="K1907" s="18"/>
      <c r="L1907" s="10"/>
      <c r="M1907" s="18"/>
      <c r="N1907" s="10"/>
      <c r="O1907" s="18"/>
      <c r="P1907" s="18"/>
      <c r="Q1907" s="18"/>
      <c r="R1907" s="18"/>
      <c r="S1907" s="18"/>
    </row>
    <row r="1908" spans="1:19" x14ac:dyDescent="0.25">
      <c r="A1908" s="9" t="s">
        <v>785</v>
      </c>
      <c r="B1908" s="17" t="s">
        <v>2054</v>
      </c>
      <c r="C1908" s="18">
        <f>ROUNDUP(SUM(D1908+E1908+F1908+G1908+H1908+I1908+J1908+K1908+M1908+O1908+P1908+Q1908+R1908+S1908),2)</f>
        <v>43752109.289999999</v>
      </c>
      <c r="D1908" s="18"/>
      <c r="E1908" s="18">
        <v>629531.22</v>
      </c>
      <c r="F1908" s="18">
        <v>5631435.71</v>
      </c>
      <c r="G1908" s="18"/>
      <c r="H1908" s="18"/>
      <c r="I1908" s="18"/>
      <c r="J1908" s="18"/>
      <c r="K1908" s="18"/>
      <c r="L1908" s="10"/>
      <c r="M1908" s="18"/>
      <c r="N1908" s="10" t="s">
        <v>552</v>
      </c>
      <c r="O1908" s="18">
        <v>17523432.52</v>
      </c>
      <c r="P1908" s="18"/>
      <c r="Q1908" s="18">
        <v>19967709.84</v>
      </c>
      <c r="R1908" s="18"/>
      <c r="S1908" s="18"/>
    </row>
    <row r="1909" spans="1:19" x14ac:dyDescent="0.25">
      <c r="A1909" s="9" t="s">
        <v>787</v>
      </c>
      <c r="B1909" s="17" t="s">
        <v>1495</v>
      </c>
      <c r="C1909" s="18">
        <f>ROUNDUP(SUM(D1909+E1909+F1909+G1909+H1909+I1909+J1909+K1909+M1909+O1909+P1909+Q1909+R1909+S1909),2)</f>
        <v>9980461</v>
      </c>
      <c r="D1909" s="18"/>
      <c r="E1909" s="18"/>
      <c r="F1909" s="18"/>
      <c r="G1909" s="18"/>
      <c r="H1909" s="18"/>
      <c r="I1909" s="18"/>
      <c r="J1909" s="18"/>
      <c r="K1909" s="18"/>
      <c r="L1909" s="10"/>
      <c r="M1909" s="18"/>
      <c r="N1909" s="10" t="s">
        <v>552</v>
      </c>
      <c r="O1909" s="18">
        <v>9980461</v>
      </c>
      <c r="P1909" s="18"/>
      <c r="Q1909" s="18"/>
      <c r="R1909" s="18"/>
      <c r="S1909" s="18"/>
    </row>
    <row r="1910" spans="1:19" x14ac:dyDescent="0.25">
      <c r="A1910" s="9" t="s">
        <v>791</v>
      </c>
      <c r="B1910" s="17" t="s">
        <v>2055</v>
      </c>
      <c r="C1910" s="18">
        <f>ROUNDUP(SUM(D1910+E1910+F1910+G1910+H1910+I1910+J1910+K1910+M1910+O1910+P1910+Q1910+R1910+S1910),2)</f>
        <v>20018046.239999998</v>
      </c>
      <c r="D1910" s="18">
        <v>392217.18</v>
      </c>
      <c r="E1910" s="74">
        <v>240000.86</v>
      </c>
      <c r="F1910" s="18"/>
      <c r="G1910" s="18"/>
      <c r="H1910" s="18"/>
      <c r="I1910" s="18"/>
      <c r="J1910" s="18"/>
      <c r="K1910" s="18"/>
      <c r="L1910" s="10">
        <v>5</v>
      </c>
      <c r="M1910" s="18">
        <v>19385828.199999999</v>
      </c>
      <c r="N1910" s="10"/>
      <c r="O1910" s="18"/>
      <c r="P1910" s="18"/>
      <c r="Q1910" s="18"/>
      <c r="R1910" s="18"/>
      <c r="S1910" s="18"/>
    </row>
    <row r="1911" spans="1:19" x14ac:dyDescent="0.25">
      <c r="A1911" s="33"/>
      <c r="B1911" s="33" t="s">
        <v>2056</v>
      </c>
      <c r="C1911" s="18">
        <f t="shared" ref="C1911:J1911" si="148">SUM(C1809:C1910)</f>
        <v>1960723335.3799996</v>
      </c>
      <c r="D1911" s="18">
        <f t="shared" si="148"/>
        <v>1277814.8600000001</v>
      </c>
      <c r="E1911" s="18">
        <f t="shared" si="148"/>
        <v>5676788</v>
      </c>
      <c r="F1911" s="18">
        <f t="shared" si="148"/>
        <v>239179358.68000001</v>
      </c>
      <c r="G1911" s="18">
        <f t="shared" si="148"/>
        <v>246498273.66999996</v>
      </c>
      <c r="H1911" s="18">
        <f t="shared" si="148"/>
        <v>108470861.80000003</v>
      </c>
      <c r="I1911" s="18">
        <f t="shared" si="148"/>
        <v>47626037.060000025</v>
      </c>
      <c r="J1911" s="18">
        <f t="shared" si="148"/>
        <v>88529045.050000012</v>
      </c>
      <c r="K1911" s="18">
        <f t="shared" ref="K1911:S1911" si="149">SUM(K1809:K1910)</f>
        <v>1630550.16</v>
      </c>
      <c r="L1911" s="10">
        <f t="shared" si="149"/>
        <v>8</v>
      </c>
      <c r="M1911" s="18">
        <f t="shared" si="149"/>
        <v>32589248.199999999</v>
      </c>
      <c r="N1911" s="18" t="s">
        <v>42</v>
      </c>
      <c r="O1911" s="18">
        <f>SUM(O1809:O1910)</f>
        <v>485737034.35000002</v>
      </c>
      <c r="P1911" s="18">
        <f>SUM(P1809:P1910)</f>
        <v>51067477.539999992</v>
      </c>
      <c r="Q1911" s="18">
        <f>SUM(Q1809:Q1910)</f>
        <v>381171989.45999998</v>
      </c>
      <c r="R1911" s="18">
        <f>SUM(R1809:R1910)</f>
        <v>271268856.55000001</v>
      </c>
      <c r="S1911" s="18">
        <f t="shared" si="149"/>
        <v>0</v>
      </c>
    </row>
    <row r="1912" spans="1:19" x14ac:dyDescent="0.25">
      <c r="A1912" s="34"/>
      <c r="B1912" s="34" t="s">
        <v>1499</v>
      </c>
      <c r="C1912" s="18"/>
      <c r="D1912" s="13"/>
      <c r="E1912" s="13"/>
      <c r="F1912" s="13"/>
      <c r="G1912" s="13"/>
      <c r="H1912" s="13"/>
      <c r="I1912" s="13"/>
      <c r="J1912" s="13"/>
      <c r="K1912" s="13"/>
      <c r="L1912" s="14"/>
      <c r="M1912" s="13"/>
      <c r="N1912" s="14"/>
      <c r="O1912" s="13"/>
      <c r="P1912" s="13"/>
      <c r="Q1912" s="13"/>
      <c r="R1912" s="13"/>
      <c r="S1912" s="13"/>
    </row>
    <row r="1913" spans="1:19" x14ac:dyDescent="0.25">
      <c r="A1913" s="9" t="s">
        <v>793</v>
      </c>
      <c r="B1913" s="17" t="s">
        <v>1507</v>
      </c>
      <c r="C1913" s="18">
        <f t="shared" ref="C1913:C1951" si="150">ROUNDUP(SUM(D1913+E1913+F1913+G1913+H1913+I1913+J1913+K1913+M1913+O1913+P1913+Q1913+R1913+S1913),2)</f>
        <v>7773270.4000000004</v>
      </c>
      <c r="D1913" s="74">
        <v>30660.73</v>
      </c>
      <c r="E1913" s="18"/>
      <c r="F1913" s="18">
        <v>5844856.4000000004</v>
      </c>
      <c r="G1913" s="18"/>
      <c r="H1913" s="18"/>
      <c r="I1913" s="18"/>
      <c r="J1913" s="18">
        <v>1897753.27</v>
      </c>
      <c r="K1913" s="18"/>
      <c r="L1913" s="10"/>
      <c r="M1913" s="18"/>
      <c r="N1913" s="10"/>
      <c r="O1913" s="18"/>
      <c r="P1913" s="18"/>
      <c r="Q1913" s="18"/>
      <c r="R1913" s="18"/>
      <c r="S1913" s="18"/>
    </row>
    <row r="1914" spans="1:19" x14ac:dyDescent="0.25">
      <c r="A1914" s="9" t="s">
        <v>795</v>
      </c>
      <c r="B1914" s="17" t="s">
        <v>1515</v>
      </c>
      <c r="C1914" s="18">
        <f>ROUNDUP(SUM(D1914+E1914+F1914+G1914+H1914+I1914+J1914+K1914+M1914+O1914+P1914+Q1914+R1914+S1914),2)</f>
        <v>7362188.8700000001</v>
      </c>
      <c r="D1914" s="18"/>
      <c r="E1914" s="18"/>
      <c r="F1914" s="18"/>
      <c r="G1914" s="18"/>
      <c r="H1914" s="18">
        <v>4531811.1100000003</v>
      </c>
      <c r="I1914" s="18">
        <v>2830377.76</v>
      </c>
      <c r="J1914" s="18"/>
      <c r="K1914" s="18"/>
      <c r="L1914" s="10"/>
      <c r="M1914" s="18"/>
      <c r="N1914" s="10"/>
      <c r="O1914" s="18"/>
      <c r="P1914" s="18"/>
      <c r="Q1914" s="18"/>
      <c r="R1914" s="18"/>
      <c r="S1914" s="18"/>
    </row>
    <row r="1915" spans="1:19" x14ac:dyDescent="0.25">
      <c r="A1915" s="9" t="s">
        <v>797</v>
      </c>
      <c r="B1915" s="17" t="s">
        <v>1517</v>
      </c>
      <c r="C1915" s="18">
        <f t="shared" si="150"/>
        <v>4929862.05</v>
      </c>
      <c r="D1915" s="18">
        <f>206.75+13228.21+6010.29</f>
        <v>19445.25</v>
      </c>
      <c r="E1915" s="18"/>
      <c r="F1915" s="18"/>
      <c r="G1915" s="18">
        <f>3340458+52210.8</f>
        <v>3392668.8</v>
      </c>
      <c r="H1915" s="18">
        <v>958135.2</v>
      </c>
      <c r="I1915" s="18">
        <v>559612.80000000005</v>
      </c>
      <c r="J1915" s="18"/>
      <c r="K1915" s="18"/>
      <c r="L1915" s="10"/>
      <c r="M1915" s="18"/>
      <c r="N1915" s="10"/>
      <c r="O1915" s="18"/>
      <c r="P1915" s="18"/>
      <c r="Q1915" s="18"/>
      <c r="R1915" s="18"/>
      <c r="S1915" s="18"/>
    </row>
    <row r="1916" spans="1:19" x14ac:dyDescent="0.25">
      <c r="A1916" s="9" t="s">
        <v>799</v>
      </c>
      <c r="B1916" s="17" t="s">
        <v>1519</v>
      </c>
      <c r="C1916" s="18">
        <f t="shared" si="150"/>
        <v>1908850.3</v>
      </c>
      <c r="D1916" s="18">
        <v>7529.23</v>
      </c>
      <c r="E1916" s="18"/>
      <c r="F1916" s="18"/>
      <c r="G1916" s="18">
        <v>1901321.07</v>
      </c>
      <c r="H1916" s="18"/>
      <c r="I1916" s="18"/>
      <c r="J1916" s="18"/>
      <c r="K1916" s="18"/>
      <c r="L1916" s="10"/>
      <c r="M1916" s="18"/>
      <c r="N1916" s="10"/>
      <c r="O1916" s="18"/>
      <c r="P1916" s="18"/>
      <c r="Q1916" s="18"/>
      <c r="R1916" s="18"/>
      <c r="S1916" s="18"/>
    </row>
    <row r="1917" spans="1:19" x14ac:dyDescent="0.25">
      <c r="A1917" s="9" t="s">
        <v>801</v>
      </c>
      <c r="B1917" s="17" t="s">
        <v>1521</v>
      </c>
      <c r="C1917" s="18">
        <f t="shared" si="150"/>
        <v>5157254.43</v>
      </c>
      <c r="D1917" s="18">
        <v>20342.16</v>
      </c>
      <c r="E1917" s="18"/>
      <c r="F1917" s="18">
        <v>1951430.62</v>
      </c>
      <c r="G1917" s="18">
        <v>1053786</v>
      </c>
      <c r="H1917" s="18"/>
      <c r="I1917" s="18"/>
      <c r="J1917" s="18"/>
      <c r="K1917" s="18"/>
      <c r="L1917" s="10"/>
      <c r="M1917" s="18"/>
      <c r="N1917" s="10"/>
      <c r="O1917" s="18"/>
      <c r="P1917" s="18">
        <v>2131695.65</v>
      </c>
      <c r="Q1917" s="18"/>
      <c r="R1917" s="18"/>
      <c r="S1917" s="18"/>
    </row>
    <row r="1918" spans="1:19" x14ac:dyDescent="0.25">
      <c r="A1918" s="9" t="s">
        <v>803</v>
      </c>
      <c r="B1918" s="17" t="s">
        <v>1525</v>
      </c>
      <c r="C1918" s="18">
        <f>ROUNDUP(SUM(D1918+E1918+F1918+G1918+H1918+I1918+J1918+K1918+M1918+O1918+P1918+Q1918+R1918+S1918),2)</f>
        <v>4261998.1399999997</v>
      </c>
      <c r="D1918" s="18">
        <f>11164.32+5646.62</f>
        <v>16810.939999999999</v>
      </c>
      <c r="E1918" s="18"/>
      <c r="F1918" s="18"/>
      <c r="G1918" s="18">
        <v>2819274</v>
      </c>
      <c r="H1918" s="18">
        <v>1001757.6</v>
      </c>
      <c r="I1918" s="18">
        <v>424155.6</v>
      </c>
      <c r="J1918" s="18"/>
      <c r="K1918" s="18"/>
      <c r="L1918" s="10"/>
      <c r="M1918" s="18"/>
      <c r="N1918" s="10"/>
      <c r="O1918" s="18"/>
      <c r="P1918" s="18"/>
      <c r="Q1918" s="18"/>
      <c r="R1918" s="18"/>
      <c r="S1918" s="18"/>
    </row>
    <row r="1919" spans="1:19" x14ac:dyDescent="0.25">
      <c r="A1919" s="9" t="s">
        <v>805</v>
      </c>
      <c r="B1919" s="17" t="s">
        <v>1527</v>
      </c>
      <c r="C1919" s="18">
        <f>ROUNDUP(SUM(D1919+E1919+F1919+G1919+H1919+I1919+J1919+K1919+M1919+O1919+P1919+Q1919+R1919+S1919),2)</f>
        <v>4337336.09</v>
      </c>
      <c r="D1919" s="18">
        <f>185.12+12521.74+4401.23</f>
        <v>17108.09</v>
      </c>
      <c r="E1919" s="18"/>
      <c r="F1919" s="18"/>
      <c r="G1919" s="18">
        <f>3162056.4+46748.4</f>
        <v>3208804.8</v>
      </c>
      <c r="H1919" s="18">
        <v>602077.19999999995</v>
      </c>
      <c r="I1919" s="18">
        <v>509346</v>
      </c>
      <c r="J1919" s="18"/>
      <c r="K1919" s="18"/>
      <c r="L1919" s="10"/>
      <c r="M1919" s="18"/>
      <c r="N1919" s="10"/>
      <c r="O1919" s="18"/>
      <c r="P1919" s="18"/>
      <c r="Q1919" s="18"/>
      <c r="R1919" s="18"/>
      <c r="S1919" s="18"/>
    </row>
    <row r="1920" spans="1:19" x14ac:dyDescent="0.25">
      <c r="A1920" s="9" t="s">
        <v>807</v>
      </c>
      <c r="B1920" s="17" t="s">
        <v>1537</v>
      </c>
      <c r="C1920" s="18">
        <f t="shared" si="150"/>
        <v>4971512.63</v>
      </c>
      <c r="D1920" s="18">
        <v>19609.54</v>
      </c>
      <c r="E1920" s="18"/>
      <c r="F1920" s="18"/>
      <c r="G1920" s="18">
        <v>4951903.09</v>
      </c>
      <c r="H1920" s="18"/>
      <c r="I1920" s="18"/>
      <c r="J1920" s="18"/>
      <c r="K1920" s="18"/>
      <c r="L1920" s="10"/>
      <c r="M1920" s="18"/>
      <c r="N1920" s="10"/>
      <c r="O1920" s="18"/>
      <c r="P1920" s="18"/>
      <c r="Q1920" s="18"/>
      <c r="R1920" s="18"/>
      <c r="S1920" s="18"/>
    </row>
    <row r="1921" spans="1:19" x14ac:dyDescent="0.25">
      <c r="A1921" s="9" t="s">
        <v>809</v>
      </c>
      <c r="B1921" s="17" t="s">
        <v>1541</v>
      </c>
      <c r="C1921" s="18">
        <f>ROUNDUP(SUM(D1921+E1921+F1921+G1921+H1921+I1921+J1921+K1921+M1921+O1921+P1921+Q1921+R1921+S1921),2)</f>
        <v>8483207.7799999993</v>
      </c>
      <c r="D1921" s="18">
        <v>33461</v>
      </c>
      <c r="E1921" s="18"/>
      <c r="F1921" s="18"/>
      <c r="G1921" s="18">
        <v>5543511.25</v>
      </c>
      <c r="H1921" s="18">
        <v>1863365.31</v>
      </c>
      <c r="I1921" s="18">
        <v>1042870.22</v>
      </c>
      <c r="J1921" s="18"/>
      <c r="K1921" s="18"/>
      <c r="L1921" s="10"/>
      <c r="M1921" s="18"/>
      <c r="N1921" s="10"/>
      <c r="O1921" s="18"/>
      <c r="P1921" s="18"/>
      <c r="Q1921" s="18"/>
      <c r="R1921" s="18"/>
      <c r="S1921" s="18"/>
    </row>
    <row r="1922" spans="1:19" x14ac:dyDescent="0.25">
      <c r="A1922" s="9" t="s">
        <v>811</v>
      </c>
      <c r="B1922" s="17" t="s">
        <v>1547</v>
      </c>
      <c r="C1922" s="18">
        <f>ROUNDUP(SUM(D1922+E1922+F1922+G1922+H1922+I1922+J1922+K1922+M1922+O1922+P1922+Q1922+R1922+S1922),2)</f>
        <v>5625548.5499999998</v>
      </c>
      <c r="D1922" s="18">
        <f>15011.61+7177.69</f>
        <v>22189.3</v>
      </c>
      <c r="E1922" s="18"/>
      <c r="F1922" s="18"/>
      <c r="G1922" s="18">
        <v>3790810.03</v>
      </c>
      <c r="H1922" s="18">
        <v>1152452.52</v>
      </c>
      <c r="I1922" s="18">
        <v>660096.69999999995</v>
      </c>
      <c r="J1922" s="18"/>
      <c r="K1922" s="18"/>
      <c r="L1922" s="10"/>
      <c r="M1922" s="18"/>
      <c r="N1922" s="10"/>
      <c r="O1922" s="18"/>
      <c r="P1922" s="18"/>
      <c r="Q1922" s="18"/>
      <c r="R1922" s="18"/>
      <c r="S1922" s="18"/>
    </row>
    <row r="1923" spans="1:19" ht="17.25" customHeight="1" x14ac:dyDescent="0.25">
      <c r="A1923" s="9" t="s">
        <v>813</v>
      </c>
      <c r="B1923" s="17" t="s">
        <v>1549</v>
      </c>
      <c r="C1923" s="18">
        <f t="shared" si="150"/>
        <v>6155296.5</v>
      </c>
      <c r="D1923" s="18">
        <f>6568.6+17710.23</f>
        <v>24278.83</v>
      </c>
      <c r="E1923" s="18"/>
      <c r="F1923" s="18"/>
      <c r="G1923" s="18">
        <v>4472280.3899999997</v>
      </c>
      <c r="H1923" s="18">
        <v>1053858.42</v>
      </c>
      <c r="I1923" s="18">
        <v>604878.86</v>
      </c>
      <c r="J1923" s="18"/>
      <c r="K1923" s="18"/>
      <c r="L1923" s="10"/>
      <c r="M1923" s="18"/>
      <c r="N1923" s="10"/>
      <c r="O1923" s="18"/>
      <c r="P1923" s="18"/>
      <c r="Q1923" s="18"/>
      <c r="R1923" s="18"/>
      <c r="S1923" s="18"/>
    </row>
    <row r="1924" spans="1:19" x14ac:dyDescent="0.25">
      <c r="A1924" s="9" t="s">
        <v>815</v>
      </c>
      <c r="B1924" s="17" t="s">
        <v>1565</v>
      </c>
      <c r="C1924" s="18">
        <f t="shared" si="150"/>
        <v>6865006.3099999996</v>
      </c>
      <c r="D1924" s="18">
        <v>51780.51</v>
      </c>
      <c r="E1924" s="18"/>
      <c r="F1924" s="18"/>
      <c r="G1924" s="18">
        <v>2400593.61</v>
      </c>
      <c r="H1924" s="18">
        <v>727246.08</v>
      </c>
      <c r="I1924" s="18">
        <v>355004.36</v>
      </c>
      <c r="J1924" s="18"/>
      <c r="K1924" s="18"/>
      <c r="L1924" s="10"/>
      <c r="M1924" s="18"/>
      <c r="N1924" s="10"/>
      <c r="O1924" s="18"/>
      <c r="P1924" s="18">
        <v>3330381.75</v>
      </c>
      <c r="Q1924" s="18"/>
      <c r="R1924" s="18"/>
      <c r="S1924" s="18"/>
    </row>
    <row r="1925" spans="1:19" x14ac:dyDescent="0.25">
      <c r="A1925" s="9" t="s">
        <v>817</v>
      </c>
      <c r="B1925" s="17" t="s">
        <v>1573</v>
      </c>
      <c r="C1925" s="18">
        <f>ROUNDUP(SUM(D1925+E1925+F1925+G1925+H1925+I1925+J1925+K1925+M1925+O1925+P1925+Q1925+R1925+S1925),2)</f>
        <v>5354578.66</v>
      </c>
      <c r="D1925" s="18">
        <v>40387.839999999997</v>
      </c>
      <c r="E1925" s="18"/>
      <c r="F1925" s="18"/>
      <c r="G1925" s="18">
        <v>2158476.92</v>
      </c>
      <c r="H1925" s="18">
        <v>550530.53</v>
      </c>
      <c r="I1925" s="18">
        <v>379578.04</v>
      </c>
      <c r="J1925" s="18"/>
      <c r="K1925" s="18"/>
      <c r="L1925" s="10"/>
      <c r="M1925" s="18"/>
      <c r="N1925" s="10"/>
      <c r="O1925" s="18"/>
      <c r="P1925" s="18">
        <v>2225605.33</v>
      </c>
      <c r="Q1925" s="18"/>
      <c r="R1925" s="18"/>
      <c r="S1925" s="18"/>
    </row>
    <row r="1926" spans="1:19" x14ac:dyDescent="0.25">
      <c r="A1926" s="9" t="s">
        <v>819</v>
      </c>
      <c r="B1926" s="17" t="s">
        <v>1577</v>
      </c>
      <c r="C1926" s="18">
        <f>ROUNDUP(SUM(D1926+E1926+F1926+G1926+H1926+I1926+J1926+K1926+M1926+O1926+P1926+Q1926+R1926+S1926),2)</f>
        <v>3596017.76</v>
      </c>
      <c r="D1926" s="18">
        <v>21056.52</v>
      </c>
      <c r="E1926" s="18"/>
      <c r="F1926" s="18"/>
      <c r="G1926" s="18"/>
      <c r="H1926" s="18"/>
      <c r="I1926" s="18"/>
      <c r="J1926" s="18"/>
      <c r="K1926" s="18"/>
      <c r="L1926" s="10"/>
      <c r="M1926" s="18"/>
      <c r="N1926" s="10"/>
      <c r="O1926" s="18"/>
      <c r="P1926" s="18">
        <v>3574961.24</v>
      </c>
      <c r="Q1926" s="18"/>
      <c r="R1926" s="18"/>
      <c r="S1926" s="18"/>
    </row>
    <row r="1927" spans="1:19" x14ac:dyDescent="0.25">
      <c r="A1927" s="9" t="s">
        <v>821</v>
      </c>
      <c r="B1927" s="17" t="s">
        <v>1579</v>
      </c>
      <c r="C1927" s="18">
        <f t="shared" si="150"/>
        <v>4003185.72</v>
      </c>
      <c r="D1927" s="18">
        <v>42380.61</v>
      </c>
      <c r="E1927" s="18"/>
      <c r="F1927" s="18"/>
      <c r="G1927" s="18"/>
      <c r="H1927" s="18"/>
      <c r="I1927" s="18"/>
      <c r="J1927" s="18"/>
      <c r="K1927" s="18"/>
      <c r="L1927" s="10"/>
      <c r="M1927" s="18"/>
      <c r="N1927" s="10"/>
      <c r="O1927" s="18"/>
      <c r="P1927" s="18">
        <v>3960805.11</v>
      </c>
      <c r="Q1927" s="18"/>
      <c r="R1927" s="18"/>
      <c r="S1927" s="18"/>
    </row>
    <row r="1928" spans="1:19" x14ac:dyDescent="0.25">
      <c r="A1928" s="9" t="s">
        <v>823</v>
      </c>
      <c r="B1928" s="17" t="s">
        <v>1581</v>
      </c>
      <c r="C1928" s="18">
        <f>ROUNDUP(SUM(D1928+E1928+F1928+G1928+H1928+I1928+J1928+K1928+M1928+O1928+P1928+Q1928+R1928+S1928),2)</f>
        <v>3499606.42</v>
      </c>
      <c r="D1928" s="18">
        <v>37049.360000000001</v>
      </c>
      <c r="E1928" s="18"/>
      <c r="F1928" s="18"/>
      <c r="G1928" s="18"/>
      <c r="H1928" s="18"/>
      <c r="I1928" s="18"/>
      <c r="J1928" s="18"/>
      <c r="K1928" s="18"/>
      <c r="L1928" s="10"/>
      <c r="M1928" s="18"/>
      <c r="N1928" s="10"/>
      <c r="O1928" s="18"/>
      <c r="P1928" s="18">
        <v>3462557.06</v>
      </c>
      <c r="Q1928" s="18"/>
      <c r="R1928" s="18"/>
      <c r="S1928" s="18"/>
    </row>
    <row r="1929" spans="1:19" x14ac:dyDescent="0.25">
      <c r="A1929" s="9" t="s">
        <v>825</v>
      </c>
      <c r="B1929" s="17" t="s">
        <v>1583</v>
      </c>
      <c r="C1929" s="18">
        <f t="shared" si="150"/>
        <v>3496537.42</v>
      </c>
      <c r="D1929" s="18">
        <v>37016.870000000003</v>
      </c>
      <c r="E1929" s="18"/>
      <c r="F1929" s="18"/>
      <c r="G1929" s="18"/>
      <c r="H1929" s="18"/>
      <c r="I1929" s="18"/>
      <c r="J1929" s="18"/>
      <c r="K1929" s="18"/>
      <c r="L1929" s="10"/>
      <c r="M1929" s="18"/>
      <c r="N1929" s="10"/>
      <c r="O1929" s="18"/>
      <c r="P1929" s="18">
        <v>3459520.55</v>
      </c>
      <c r="Q1929" s="18"/>
      <c r="R1929" s="18"/>
      <c r="S1929" s="18"/>
    </row>
    <row r="1930" spans="1:19" x14ac:dyDescent="0.25">
      <c r="A1930" s="9" t="s">
        <v>827</v>
      </c>
      <c r="B1930" s="17" t="s">
        <v>1591</v>
      </c>
      <c r="C1930" s="18">
        <f t="shared" si="150"/>
        <v>3064233.33</v>
      </c>
      <c r="D1930" s="18">
        <v>17942.650000000001</v>
      </c>
      <c r="E1930" s="18"/>
      <c r="F1930" s="18"/>
      <c r="G1930" s="18"/>
      <c r="H1930" s="18"/>
      <c r="I1930" s="18"/>
      <c r="J1930" s="18"/>
      <c r="K1930" s="18"/>
      <c r="L1930" s="10"/>
      <c r="M1930" s="18"/>
      <c r="N1930" s="10"/>
      <c r="O1930" s="18"/>
      <c r="P1930" s="18">
        <v>3046290.68</v>
      </c>
      <c r="Q1930" s="18"/>
      <c r="R1930" s="18"/>
      <c r="S1930" s="18"/>
    </row>
    <row r="1931" spans="1:19" x14ac:dyDescent="0.25">
      <c r="A1931" s="9" t="s">
        <v>829</v>
      </c>
      <c r="B1931" s="17" t="s">
        <v>1593</v>
      </c>
      <c r="C1931" s="18">
        <f t="shared" si="150"/>
        <v>2906730.81</v>
      </c>
      <c r="D1931" s="18">
        <v>17020.39</v>
      </c>
      <c r="E1931" s="18"/>
      <c r="F1931" s="18"/>
      <c r="G1931" s="18"/>
      <c r="H1931" s="18"/>
      <c r="I1931" s="18"/>
      <c r="J1931" s="18"/>
      <c r="K1931" s="18"/>
      <c r="L1931" s="10"/>
      <c r="M1931" s="18"/>
      <c r="N1931" s="10"/>
      <c r="O1931" s="18"/>
      <c r="P1931" s="18">
        <v>2889710.42</v>
      </c>
      <c r="Q1931" s="18"/>
      <c r="R1931" s="18"/>
      <c r="S1931" s="18"/>
    </row>
    <row r="1932" spans="1:19" x14ac:dyDescent="0.25">
      <c r="A1932" s="9" t="s">
        <v>831</v>
      </c>
      <c r="B1932" s="17" t="s">
        <v>1595</v>
      </c>
      <c r="C1932" s="18">
        <f>ROUNDUP(SUM(D1932+E1932+F1932+G1932+H1932+I1932+J1932+K1932+M1932+O1932+P1932+Q1932+R1932+S1932),2)</f>
        <v>2912502.05</v>
      </c>
      <c r="D1932" s="18">
        <v>17054.189999999999</v>
      </c>
      <c r="E1932" s="18"/>
      <c r="F1932" s="18"/>
      <c r="G1932" s="18"/>
      <c r="H1932" s="18"/>
      <c r="I1932" s="18"/>
      <c r="J1932" s="18"/>
      <c r="K1932" s="18"/>
      <c r="L1932" s="10"/>
      <c r="M1932" s="18"/>
      <c r="N1932" s="10"/>
      <c r="O1932" s="18"/>
      <c r="P1932" s="18">
        <v>2895447.86</v>
      </c>
      <c r="Q1932" s="18"/>
      <c r="R1932" s="18"/>
      <c r="S1932" s="18"/>
    </row>
    <row r="1933" spans="1:19" x14ac:dyDescent="0.25">
      <c r="A1933" s="9" t="s">
        <v>833</v>
      </c>
      <c r="B1933" s="17" t="s">
        <v>1599</v>
      </c>
      <c r="C1933" s="18">
        <f t="shared" si="150"/>
        <v>8362594.1100000003</v>
      </c>
      <c r="D1933" s="18"/>
      <c r="E1933" s="18"/>
      <c r="F1933" s="18"/>
      <c r="G1933" s="18">
        <v>3502924.02</v>
      </c>
      <c r="H1933" s="18"/>
      <c r="I1933" s="18"/>
      <c r="J1933" s="18"/>
      <c r="K1933" s="18"/>
      <c r="L1933" s="10"/>
      <c r="M1933" s="18"/>
      <c r="N1933" s="10"/>
      <c r="O1933" s="18"/>
      <c r="P1933" s="18">
        <v>4859670.09</v>
      </c>
      <c r="Q1933" s="18"/>
      <c r="R1933" s="18"/>
      <c r="S1933" s="18"/>
    </row>
    <row r="1934" spans="1:19" x14ac:dyDescent="0.25">
      <c r="A1934" s="9" t="s">
        <v>835</v>
      </c>
      <c r="B1934" s="17" t="s">
        <v>1603</v>
      </c>
      <c r="C1934" s="18">
        <f t="shared" si="150"/>
        <v>6880364.1500000004</v>
      </c>
      <c r="D1934" s="18">
        <v>21117.03</v>
      </c>
      <c r="E1934" s="18"/>
      <c r="F1934" s="18"/>
      <c r="G1934" s="18">
        <v>3274013.48</v>
      </c>
      <c r="H1934" s="18"/>
      <c r="I1934" s="18"/>
      <c r="J1934" s="18"/>
      <c r="K1934" s="18"/>
      <c r="L1934" s="10"/>
      <c r="M1934" s="18"/>
      <c r="N1934" s="10"/>
      <c r="O1934" s="18"/>
      <c r="P1934" s="18">
        <v>3585233.64</v>
      </c>
      <c r="Q1934" s="18"/>
      <c r="R1934" s="18"/>
      <c r="S1934" s="18"/>
    </row>
    <row r="1935" spans="1:19" x14ac:dyDescent="0.25">
      <c r="A1935" s="9" t="s">
        <v>837</v>
      </c>
      <c r="B1935" s="17" t="s">
        <v>2057</v>
      </c>
      <c r="C1935" s="18">
        <f>ROUNDUP(SUM(D1935+E1935+F1935+G1935+H1935+I1935+J1935+K1935+M1935+O1935+P1935+Q1935+R1935+S1935),2)</f>
        <v>11758816.67</v>
      </c>
      <c r="D1935" s="18"/>
      <c r="E1935" s="18">
        <v>173779.93</v>
      </c>
      <c r="F1935" s="18"/>
      <c r="G1935" s="18"/>
      <c r="H1935" s="18"/>
      <c r="I1935" s="18"/>
      <c r="J1935" s="18"/>
      <c r="K1935" s="18"/>
      <c r="L1935" s="10"/>
      <c r="M1935" s="18"/>
      <c r="N1935" s="10" t="s">
        <v>883</v>
      </c>
      <c r="O1935" s="18">
        <v>11585036.74</v>
      </c>
      <c r="P1935" s="18"/>
      <c r="Q1935" s="18"/>
      <c r="R1935" s="18"/>
      <c r="S1935" s="18"/>
    </row>
    <row r="1936" spans="1:19" x14ac:dyDescent="0.25">
      <c r="A1936" s="9" t="s">
        <v>839</v>
      </c>
      <c r="B1936" s="17" t="s">
        <v>1607</v>
      </c>
      <c r="C1936" s="18">
        <f t="shared" si="150"/>
        <v>540533.09</v>
      </c>
      <c r="D1936" s="18">
        <f>227.24+2937.86</f>
        <v>3165.1000000000004</v>
      </c>
      <c r="E1936" s="18"/>
      <c r="F1936" s="18"/>
      <c r="G1936" s="18">
        <v>498787.41</v>
      </c>
      <c r="H1936" s="18">
        <v>20851.3</v>
      </c>
      <c r="I1936" s="18">
        <v>17729.28</v>
      </c>
      <c r="J1936" s="18"/>
      <c r="K1936" s="18"/>
      <c r="L1936" s="10"/>
      <c r="M1936" s="18"/>
      <c r="N1936" s="10"/>
      <c r="O1936" s="18"/>
      <c r="P1936" s="18"/>
      <c r="Q1936" s="18"/>
      <c r="R1936" s="18"/>
      <c r="S1936" s="18"/>
    </row>
    <row r="1937" spans="1:23" x14ac:dyDescent="0.25">
      <c r="A1937" s="9" t="s">
        <v>841</v>
      </c>
      <c r="B1937" s="17" t="s">
        <v>1609</v>
      </c>
      <c r="C1937" s="18">
        <f>ROUNDUP(SUM(D1937+E1937+F1937+G1937+H1937+I1937+J1937+K1937+M1937+O1937+P1937+Q1937+R1937+S1937),2)</f>
        <v>3164374.81</v>
      </c>
      <c r="D1937" s="18">
        <v>18529.03</v>
      </c>
      <c r="E1937" s="18"/>
      <c r="F1937" s="18"/>
      <c r="G1937" s="18"/>
      <c r="H1937" s="18"/>
      <c r="I1937" s="18"/>
      <c r="J1937" s="18"/>
      <c r="K1937" s="18"/>
      <c r="L1937" s="10"/>
      <c r="M1937" s="18"/>
      <c r="N1937" s="10"/>
      <c r="O1937" s="18"/>
      <c r="P1937" s="18">
        <v>3145845.78</v>
      </c>
      <c r="Q1937" s="18"/>
      <c r="R1937" s="18"/>
      <c r="S1937" s="18"/>
    </row>
    <row r="1938" spans="1:23" x14ac:dyDescent="0.25">
      <c r="A1938" s="9" t="s">
        <v>843</v>
      </c>
      <c r="B1938" s="17" t="s">
        <v>2058</v>
      </c>
      <c r="C1938" s="18">
        <f t="shared" si="150"/>
        <v>17708918.949999999</v>
      </c>
      <c r="D1938" s="18"/>
      <c r="E1938" s="18">
        <v>309080.11</v>
      </c>
      <c r="F1938" s="18"/>
      <c r="G1938" s="18"/>
      <c r="H1938" s="18"/>
      <c r="I1938" s="18"/>
      <c r="J1938" s="18"/>
      <c r="K1938" s="18"/>
      <c r="L1938" s="10"/>
      <c r="M1938" s="18"/>
      <c r="N1938" s="18" t="s">
        <v>552</v>
      </c>
      <c r="O1938" s="18">
        <v>17399838.84</v>
      </c>
      <c r="P1938" s="18"/>
      <c r="Q1938" s="18"/>
      <c r="R1938" s="18"/>
      <c r="S1938" s="18"/>
      <c r="W1938" s="78"/>
    </row>
    <row r="1939" spans="1:23" x14ac:dyDescent="0.25">
      <c r="A1939" s="9" t="s">
        <v>845</v>
      </c>
      <c r="B1939" s="17" t="s">
        <v>1611</v>
      </c>
      <c r="C1939" s="18">
        <f t="shared" si="150"/>
        <v>18100748.690000001</v>
      </c>
      <c r="D1939" s="18">
        <f>19025.12+12122.01+32081.51</f>
        <v>63228.639999999999</v>
      </c>
      <c r="E1939" s="18"/>
      <c r="F1939" s="18"/>
      <c r="G1939" s="18">
        <f>3907869.91+5446776.74</f>
        <v>9354646.6500000004</v>
      </c>
      <c r="H1939" s="18">
        <f>1235075.47+2087823.19</f>
        <v>3322898.66</v>
      </c>
      <c r="I1939" s="18">
        <f>822992.36+1306911.25</f>
        <v>2129903.61</v>
      </c>
      <c r="J1939" s="18"/>
      <c r="K1939" s="18"/>
      <c r="L1939" s="10"/>
      <c r="M1939" s="18"/>
      <c r="N1939" s="10"/>
      <c r="O1939" s="18"/>
      <c r="P1939" s="18">
        <v>3230071.13</v>
      </c>
      <c r="Q1939" s="18"/>
      <c r="R1939" s="18"/>
      <c r="S1939" s="18"/>
    </row>
    <row r="1940" spans="1:23" x14ac:dyDescent="0.25">
      <c r="A1940" s="9" t="s">
        <v>847</v>
      </c>
      <c r="B1940" s="17" t="s">
        <v>1619</v>
      </c>
      <c r="C1940" s="18">
        <f t="shared" si="150"/>
        <v>2699220.49</v>
      </c>
      <c r="D1940" s="18">
        <v>15805.32</v>
      </c>
      <c r="E1940" s="18"/>
      <c r="F1940" s="18"/>
      <c r="G1940" s="18"/>
      <c r="H1940" s="18"/>
      <c r="I1940" s="18"/>
      <c r="J1940" s="18"/>
      <c r="K1940" s="18"/>
      <c r="L1940" s="10"/>
      <c r="M1940" s="18"/>
      <c r="N1940" s="10"/>
      <c r="O1940" s="18"/>
      <c r="P1940" s="18">
        <v>2683415.17</v>
      </c>
      <c r="Q1940" s="18"/>
      <c r="R1940" s="18"/>
      <c r="S1940" s="18"/>
    </row>
    <row r="1941" spans="1:23" x14ac:dyDescent="0.25">
      <c r="A1941" s="9" t="s">
        <v>849</v>
      </c>
      <c r="B1941" s="17" t="s">
        <v>1621</v>
      </c>
      <c r="C1941" s="18">
        <f t="shared" si="150"/>
        <v>6644009.0199999996</v>
      </c>
      <c r="D1941" s="18">
        <f>15013.37+23890.7</f>
        <v>38904.07</v>
      </c>
      <c r="E1941" s="18"/>
      <c r="F1941" s="18"/>
      <c r="G1941" s="18">
        <v>2548958.4300000002</v>
      </c>
      <c r="H1941" s="18"/>
      <c r="I1941" s="18"/>
      <c r="J1941" s="18"/>
      <c r="K1941" s="18"/>
      <c r="L1941" s="10"/>
      <c r="M1941" s="18"/>
      <c r="N1941" s="10"/>
      <c r="O1941" s="18"/>
      <c r="P1941" s="18">
        <v>4056146.52</v>
      </c>
      <c r="Q1941" s="18"/>
      <c r="R1941" s="18"/>
      <c r="S1941" s="18"/>
    </row>
    <row r="1942" spans="1:23" x14ac:dyDescent="0.25">
      <c r="A1942" s="9" t="s">
        <v>851</v>
      </c>
      <c r="B1942" s="17" t="s">
        <v>1627</v>
      </c>
      <c r="C1942" s="18">
        <f t="shared" si="150"/>
        <v>10895585.85</v>
      </c>
      <c r="D1942" s="18">
        <f>9544.94+15999.66</f>
        <v>25544.6</v>
      </c>
      <c r="E1942" s="18"/>
      <c r="F1942" s="18"/>
      <c r="G1942" s="18">
        <v>4516821.7</v>
      </c>
      <c r="H1942" s="18">
        <v>1130849.1599999999</v>
      </c>
      <c r="I1942" s="18">
        <v>1160693.17</v>
      </c>
      <c r="J1942" s="18"/>
      <c r="K1942" s="18"/>
      <c r="L1942" s="10"/>
      <c r="M1942" s="18"/>
      <c r="N1942" s="10"/>
      <c r="O1942" s="18"/>
      <c r="P1942" s="18">
        <v>4061677.22</v>
      </c>
      <c r="Q1942" s="18"/>
      <c r="R1942" s="18"/>
      <c r="S1942" s="18"/>
    </row>
    <row r="1943" spans="1:23" x14ac:dyDescent="0.25">
      <c r="A1943" s="9" t="s">
        <v>853</v>
      </c>
      <c r="B1943" s="17" t="s">
        <v>1641</v>
      </c>
      <c r="C1943" s="18">
        <f t="shared" si="150"/>
        <v>11098267.1</v>
      </c>
      <c r="D1943" s="18">
        <v>26019.78</v>
      </c>
      <c r="E1943" s="18"/>
      <c r="F1943" s="18"/>
      <c r="G1943" s="18"/>
      <c r="H1943" s="18"/>
      <c r="I1943" s="18"/>
      <c r="J1943" s="18"/>
      <c r="K1943" s="18"/>
      <c r="L1943" s="10"/>
      <c r="M1943" s="18"/>
      <c r="N1943" s="10" t="s">
        <v>552</v>
      </c>
      <c r="O1943" s="18">
        <v>11072247.32</v>
      </c>
      <c r="P1943" s="18"/>
      <c r="Q1943" s="18"/>
      <c r="R1943" s="18"/>
      <c r="S1943" s="18"/>
    </row>
    <row r="1944" spans="1:23" x14ac:dyDescent="0.25">
      <c r="A1944" s="9" t="s">
        <v>855</v>
      </c>
      <c r="B1944" s="17" t="s">
        <v>1645</v>
      </c>
      <c r="C1944" s="18">
        <f t="shared" si="150"/>
        <v>3172664.5</v>
      </c>
      <c r="D1944" s="18">
        <f>5914.49+1523.79</f>
        <v>7438.28</v>
      </c>
      <c r="E1944" s="18"/>
      <c r="F1944" s="18">
        <v>2516804.42</v>
      </c>
      <c r="G1944" s="18"/>
      <c r="H1944" s="18"/>
      <c r="I1944" s="18"/>
      <c r="J1944" s="18">
        <v>648421.80000000005</v>
      </c>
      <c r="K1944" s="18"/>
      <c r="L1944" s="10"/>
      <c r="M1944" s="18"/>
      <c r="N1944" s="10"/>
      <c r="O1944" s="18"/>
      <c r="P1944" s="18"/>
      <c r="Q1944" s="18"/>
      <c r="R1944" s="18"/>
      <c r="S1944" s="18"/>
    </row>
    <row r="1945" spans="1:23" x14ac:dyDescent="0.25">
      <c r="A1945" s="9" t="s">
        <v>857</v>
      </c>
      <c r="B1945" s="17" t="s">
        <v>1647</v>
      </c>
      <c r="C1945" s="18">
        <f t="shared" si="150"/>
        <v>3297338.89</v>
      </c>
      <c r="D1945" s="18">
        <f>4242.3+3488.05</f>
        <v>7730.35</v>
      </c>
      <c r="E1945" s="18"/>
      <c r="F1945" s="18"/>
      <c r="G1945" s="18">
        <v>1138170.6100000001</v>
      </c>
      <c r="H1945" s="18">
        <v>219554.65</v>
      </c>
      <c r="I1945" s="18">
        <v>126551.64</v>
      </c>
      <c r="J1945" s="18"/>
      <c r="K1945" s="18"/>
      <c r="L1945" s="10"/>
      <c r="M1945" s="18"/>
      <c r="N1945" s="10"/>
      <c r="O1945" s="18"/>
      <c r="P1945" s="18">
        <v>1805331.64</v>
      </c>
      <c r="Q1945" s="18"/>
      <c r="R1945" s="18"/>
      <c r="S1945" s="18"/>
    </row>
    <row r="1946" spans="1:23" x14ac:dyDescent="0.25">
      <c r="A1946" s="9" t="s">
        <v>859</v>
      </c>
      <c r="B1946" s="17" t="s">
        <v>1651</v>
      </c>
      <c r="C1946" s="18">
        <f t="shared" si="150"/>
        <v>13619217.640000001</v>
      </c>
      <c r="D1946" s="18">
        <f>15052.42+9929.25</f>
        <v>24981.67</v>
      </c>
      <c r="E1946" s="18"/>
      <c r="F1946" s="18"/>
      <c r="G1946" s="18">
        <v>4225210.92</v>
      </c>
      <c r="H1946" s="18">
        <v>1936302.36</v>
      </c>
      <c r="I1946" s="18">
        <v>1027439.45</v>
      </c>
      <c r="J1946" s="18"/>
      <c r="K1946" s="18"/>
      <c r="L1946" s="10"/>
      <c r="M1946" s="18"/>
      <c r="N1946" s="10"/>
      <c r="O1946" s="18"/>
      <c r="P1946" s="18">
        <v>6405283.2400000002</v>
      </c>
      <c r="Q1946" s="18"/>
      <c r="R1946" s="18"/>
      <c r="S1946" s="18"/>
    </row>
    <row r="1947" spans="1:23" x14ac:dyDescent="0.25">
      <c r="A1947" s="9" t="s">
        <v>861</v>
      </c>
      <c r="B1947" s="17" t="s">
        <v>1653</v>
      </c>
      <c r="C1947" s="18">
        <f t="shared" si="150"/>
        <v>6978292.04</v>
      </c>
      <c r="D1947" s="18">
        <f>5522.38+4078.79+6759.37</f>
        <v>16360.54</v>
      </c>
      <c r="E1947" s="18"/>
      <c r="F1947" s="18"/>
      <c r="G1947" s="18">
        <v>2876329.06</v>
      </c>
      <c r="H1947" s="18">
        <v>1151406.8799999999</v>
      </c>
      <c r="I1947" s="18">
        <v>584245.86</v>
      </c>
      <c r="J1947" s="18"/>
      <c r="K1947" s="18"/>
      <c r="L1947" s="10"/>
      <c r="M1947" s="18"/>
      <c r="N1947" s="10"/>
      <c r="O1947" s="18"/>
      <c r="P1947" s="18">
        <v>2349949.7000000002</v>
      </c>
      <c r="Q1947" s="18"/>
      <c r="R1947" s="18"/>
      <c r="S1947" s="18"/>
    </row>
    <row r="1948" spans="1:23" x14ac:dyDescent="0.25">
      <c r="A1948" s="9" t="s">
        <v>863</v>
      </c>
      <c r="B1948" s="17" t="s">
        <v>1667</v>
      </c>
      <c r="C1948" s="18">
        <f t="shared" si="150"/>
        <v>2313699.9300000002</v>
      </c>
      <c r="D1948" s="18">
        <f>1633.94+3790.52</f>
        <v>5424.46</v>
      </c>
      <c r="E1948" s="18"/>
      <c r="F1948" s="18">
        <v>695292.91</v>
      </c>
      <c r="G1948" s="18">
        <v>933033.96</v>
      </c>
      <c r="H1948" s="18">
        <v>195866.56</v>
      </c>
      <c r="I1948" s="18">
        <v>282586.01</v>
      </c>
      <c r="J1948" s="18">
        <v>201496.03</v>
      </c>
      <c r="K1948" s="18"/>
      <c r="L1948" s="10"/>
      <c r="M1948" s="18"/>
      <c r="N1948" s="10"/>
      <c r="O1948" s="18"/>
      <c r="P1948" s="18"/>
      <c r="Q1948" s="18"/>
      <c r="R1948" s="18"/>
      <c r="S1948" s="18"/>
    </row>
    <row r="1949" spans="1:23" x14ac:dyDescent="0.25">
      <c r="A1949" s="9" t="s">
        <v>865</v>
      </c>
      <c r="B1949" s="17" t="s">
        <v>1673</v>
      </c>
      <c r="C1949" s="18">
        <f t="shared" si="150"/>
        <v>5879398.1699999999</v>
      </c>
      <c r="D1949" s="18">
        <f>7838.75+5945.44</f>
        <v>13784.189999999999</v>
      </c>
      <c r="E1949" s="18"/>
      <c r="F1949" s="18"/>
      <c r="G1949" s="18">
        <v>1532842.37</v>
      </c>
      <c r="H1949" s="18">
        <v>654558.78</v>
      </c>
      <c r="I1949" s="18">
        <v>342572.95</v>
      </c>
      <c r="J1949" s="18"/>
      <c r="K1949" s="18"/>
      <c r="L1949" s="10"/>
      <c r="M1949" s="18"/>
      <c r="N1949" s="10"/>
      <c r="O1949" s="18"/>
      <c r="P1949" s="18">
        <v>3335639.88</v>
      </c>
      <c r="Q1949" s="18"/>
      <c r="R1949" s="18"/>
      <c r="S1949" s="18"/>
    </row>
    <row r="1950" spans="1:23" x14ac:dyDescent="0.25">
      <c r="A1950" s="9" t="s">
        <v>867</v>
      </c>
      <c r="B1950" s="17" t="s">
        <v>1677</v>
      </c>
      <c r="C1950" s="18">
        <f t="shared" si="150"/>
        <v>3976843.28</v>
      </c>
      <c r="D1950" s="18">
        <v>9323.67</v>
      </c>
      <c r="E1950" s="18"/>
      <c r="F1950" s="18"/>
      <c r="G1950" s="18"/>
      <c r="H1950" s="18"/>
      <c r="I1950" s="18"/>
      <c r="J1950" s="18"/>
      <c r="K1950" s="18"/>
      <c r="L1950" s="10"/>
      <c r="M1950" s="18"/>
      <c r="N1950" s="10"/>
      <c r="O1950" s="18"/>
      <c r="P1950" s="18">
        <v>3967519.61</v>
      </c>
      <c r="Q1950" s="18"/>
      <c r="R1950" s="18"/>
      <c r="S1950" s="18"/>
    </row>
    <row r="1951" spans="1:23" x14ac:dyDescent="0.25">
      <c r="A1951" s="9" t="s">
        <v>869</v>
      </c>
      <c r="B1951" s="17" t="s">
        <v>1679</v>
      </c>
      <c r="C1951" s="18">
        <f t="shared" si="150"/>
        <v>4508505.18</v>
      </c>
      <c r="D1951" s="18">
        <v>10570.15</v>
      </c>
      <c r="E1951" s="18"/>
      <c r="F1951" s="18"/>
      <c r="G1951" s="18"/>
      <c r="H1951" s="18"/>
      <c r="I1951" s="18"/>
      <c r="J1951" s="18"/>
      <c r="K1951" s="18"/>
      <c r="L1951" s="10"/>
      <c r="M1951" s="18"/>
      <c r="N1951" s="10"/>
      <c r="O1951" s="18"/>
      <c r="P1951" s="18">
        <v>4497935.03</v>
      </c>
      <c r="Q1951" s="18"/>
      <c r="R1951" s="18"/>
      <c r="S1951" s="18"/>
    </row>
    <row r="1952" spans="1:23" ht="30" x14ac:dyDescent="0.25">
      <c r="A1952" s="33"/>
      <c r="B1952" s="33" t="s">
        <v>2059</v>
      </c>
      <c r="C1952" s="18">
        <f>ROUND(D1952+E1952+F1952+G1952+H1952+I1952+J1952+K1952+M1952+O1952+P1952+Q1952+R1952+S1952,2)</f>
        <v>238264116.78</v>
      </c>
      <c r="D1952" s="18">
        <f t="shared" ref="D1952:S1952" si="151">SUM(D1913:D1951)</f>
        <v>801050.89</v>
      </c>
      <c r="E1952" s="18">
        <f t="shared" si="151"/>
        <v>482860.04</v>
      </c>
      <c r="F1952" s="18">
        <f t="shared" si="151"/>
        <v>11008384.350000001</v>
      </c>
      <c r="G1952" s="18">
        <f t="shared" si="151"/>
        <v>70095168.569999993</v>
      </c>
      <c r="H1952" s="18">
        <f t="shared" si="151"/>
        <v>21073522.319999997</v>
      </c>
      <c r="I1952" s="18">
        <f t="shared" si="151"/>
        <v>13037642.309999999</v>
      </c>
      <c r="J1952" s="18">
        <f t="shared" si="151"/>
        <v>2747671.1</v>
      </c>
      <c r="K1952" s="18">
        <f t="shared" si="151"/>
        <v>0</v>
      </c>
      <c r="L1952" s="10">
        <f t="shared" si="151"/>
        <v>0</v>
      </c>
      <c r="M1952" s="18">
        <f t="shared" si="151"/>
        <v>0</v>
      </c>
      <c r="N1952" s="18" t="s">
        <v>42</v>
      </c>
      <c r="O1952" s="18">
        <f t="shared" si="151"/>
        <v>40057122.899999999</v>
      </c>
      <c r="P1952" s="18">
        <f t="shared" si="151"/>
        <v>78960694.299999997</v>
      </c>
      <c r="Q1952" s="18">
        <f t="shared" si="151"/>
        <v>0</v>
      </c>
      <c r="R1952" s="18">
        <f t="shared" si="151"/>
        <v>0</v>
      </c>
      <c r="S1952" s="18">
        <f t="shared" si="151"/>
        <v>0</v>
      </c>
    </row>
    <row r="1953" spans="1:19" x14ac:dyDescent="0.25">
      <c r="A1953" s="34"/>
      <c r="B1953" s="34" t="s">
        <v>1687</v>
      </c>
      <c r="C1953" s="18"/>
      <c r="D1953" s="13"/>
      <c r="E1953" s="13"/>
      <c r="F1953" s="13"/>
      <c r="G1953" s="13"/>
      <c r="H1953" s="13"/>
      <c r="I1953" s="13"/>
      <c r="J1953" s="13"/>
      <c r="K1953" s="13"/>
      <c r="L1953" s="14"/>
      <c r="M1953" s="13"/>
      <c r="N1953" s="14"/>
      <c r="O1953" s="13"/>
      <c r="P1953" s="13"/>
      <c r="Q1953" s="13"/>
      <c r="R1953" s="13"/>
      <c r="S1953" s="13"/>
    </row>
    <row r="1954" spans="1:19" x14ac:dyDescent="0.25">
      <c r="A1954" s="9" t="s">
        <v>871</v>
      </c>
      <c r="B1954" s="17" t="s">
        <v>1693</v>
      </c>
      <c r="C1954" s="18">
        <f>ROUNDUP(SUM(D1954+E1954+F1954+G1954+H1954+I1954+J1954+K1954+M1954+O1954+P1954+Q1954+R1954+S1954),2)</f>
        <v>3301852.38</v>
      </c>
      <c r="D1954" s="18">
        <f>5371.04+1909.96</f>
        <v>7281</v>
      </c>
      <c r="E1954" s="18"/>
      <c r="F1954" s="18"/>
      <c r="G1954" s="18">
        <v>2430336.2999999998</v>
      </c>
      <c r="H1954" s="18"/>
      <c r="I1954" s="18"/>
      <c r="J1954" s="18"/>
      <c r="K1954" s="18"/>
      <c r="L1954" s="10"/>
      <c r="M1954" s="18"/>
      <c r="N1954" s="10"/>
      <c r="O1954" s="18"/>
      <c r="P1954" s="18">
        <v>864235.08</v>
      </c>
      <c r="Q1954" s="18"/>
      <c r="R1954" s="18"/>
      <c r="S1954" s="18"/>
    </row>
    <row r="1955" spans="1:19" x14ac:dyDescent="0.25">
      <c r="A1955" s="9" t="s">
        <v>873</v>
      </c>
      <c r="B1955" s="17" t="s">
        <v>1697</v>
      </c>
      <c r="C1955" s="18">
        <f>ROUNDUP(SUM(D1955+E1955+F1955+G1955+H1955+I1955+J1955+K1955+M1955+O1955+P1955+Q1955+R1955+S1955),2)</f>
        <v>16517620.710000001</v>
      </c>
      <c r="D1955" s="18">
        <v>31653.06</v>
      </c>
      <c r="E1955" s="18"/>
      <c r="F1955" s="18"/>
      <c r="G1955" s="18"/>
      <c r="H1955" s="18"/>
      <c r="I1955" s="18"/>
      <c r="J1955" s="18"/>
      <c r="K1955" s="18"/>
      <c r="L1955" s="10"/>
      <c r="M1955" s="18"/>
      <c r="N1955" s="10"/>
      <c r="O1955" s="18"/>
      <c r="P1955" s="18"/>
      <c r="Q1955" s="18"/>
      <c r="R1955" s="18">
        <v>16485967.65</v>
      </c>
      <c r="S1955" s="18"/>
    </row>
    <row r="1956" spans="1:19" x14ac:dyDescent="0.25">
      <c r="A1956" s="9" t="s">
        <v>877</v>
      </c>
      <c r="B1956" s="17" t="s">
        <v>1699</v>
      </c>
      <c r="C1956" s="18">
        <f>ROUNDUP(SUM(D1956+E1956+F1956+G1956+H1956+I1956+J1956+K1956+M1956+O1956+P1956+Q1956+R1956+S1956),2)</f>
        <v>20316166.859999999</v>
      </c>
      <c r="D1956" s="18">
        <v>44799.72</v>
      </c>
      <c r="E1956" s="18"/>
      <c r="F1956" s="18"/>
      <c r="G1956" s="18"/>
      <c r="H1956" s="18"/>
      <c r="I1956" s="18"/>
      <c r="J1956" s="18"/>
      <c r="K1956" s="18"/>
      <c r="L1956" s="10"/>
      <c r="M1956" s="18"/>
      <c r="N1956" s="10"/>
      <c r="O1956" s="18"/>
      <c r="P1956" s="18"/>
      <c r="Q1956" s="18"/>
      <c r="R1956" s="18">
        <v>20271367.140000001</v>
      </c>
      <c r="S1956" s="18"/>
    </row>
    <row r="1957" spans="1:19" x14ac:dyDescent="0.25">
      <c r="A1957" s="9" t="s">
        <v>879</v>
      </c>
      <c r="B1957" s="17" t="s">
        <v>1705</v>
      </c>
      <c r="C1957" s="18">
        <f t="shared" ref="C1957:C1959" si="152">ROUNDUP(SUM(D1957+E1957+F1957+G1957+H1957+I1957+J1957+K1957+M1957+O1957+P1957+Q1957+R1957+S1957),2)</f>
        <v>13816135.779999999</v>
      </c>
      <c r="D1957" s="18">
        <v>26476.15</v>
      </c>
      <c r="E1957" s="18"/>
      <c r="F1957" s="18"/>
      <c r="G1957" s="18"/>
      <c r="H1957" s="18"/>
      <c r="I1957" s="18"/>
      <c r="J1957" s="18"/>
      <c r="K1957" s="18"/>
      <c r="L1957" s="10"/>
      <c r="M1957" s="18"/>
      <c r="N1957" s="10"/>
      <c r="O1957" s="18"/>
      <c r="P1957" s="18"/>
      <c r="Q1957" s="18"/>
      <c r="R1957" s="18">
        <v>13789659.630000001</v>
      </c>
      <c r="S1957" s="18"/>
    </row>
    <row r="1958" spans="1:19" x14ac:dyDescent="0.25">
      <c r="A1958" s="9" t="s">
        <v>881</v>
      </c>
      <c r="B1958" s="17" t="s">
        <v>1707</v>
      </c>
      <c r="C1958" s="18">
        <f t="shared" si="152"/>
        <v>26163348.129999999</v>
      </c>
      <c r="D1958" s="18">
        <v>57693.5</v>
      </c>
      <c r="E1958" s="18"/>
      <c r="F1958" s="18"/>
      <c r="G1958" s="18"/>
      <c r="H1958" s="18"/>
      <c r="I1958" s="18"/>
      <c r="J1958" s="18"/>
      <c r="K1958" s="18"/>
      <c r="L1958" s="10"/>
      <c r="M1958" s="18"/>
      <c r="N1958" s="10"/>
      <c r="O1958" s="18"/>
      <c r="P1958" s="18"/>
      <c r="Q1958" s="18"/>
      <c r="R1958" s="18">
        <v>26105654.629999999</v>
      </c>
      <c r="S1958" s="18"/>
    </row>
    <row r="1959" spans="1:19" ht="15" customHeight="1" x14ac:dyDescent="0.25">
      <c r="A1959" s="9" t="s">
        <v>884</v>
      </c>
      <c r="B1959" s="17" t="s">
        <v>1719</v>
      </c>
      <c r="C1959" s="18">
        <f t="shared" si="152"/>
        <v>13952641.609999999</v>
      </c>
      <c r="D1959" s="18">
        <v>30767.34</v>
      </c>
      <c r="E1959" s="18"/>
      <c r="F1959" s="18"/>
      <c r="G1959" s="18"/>
      <c r="H1959" s="18"/>
      <c r="I1959" s="18"/>
      <c r="J1959" s="18"/>
      <c r="K1959" s="18"/>
      <c r="L1959" s="10"/>
      <c r="M1959" s="18"/>
      <c r="N1959" s="10"/>
      <c r="O1959" s="18"/>
      <c r="P1959" s="18"/>
      <c r="Q1959" s="18"/>
      <c r="R1959" s="18">
        <v>13921874.27</v>
      </c>
      <c r="S1959" s="18"/>
    </row>
    <row r="1960" spans="1:19" ht="15" customHeight="1" x14ac:dyDescent="0.25">
      <c r="A1960" s="9" t="s">
        <v>886</v>
      </c>
      <c r="B1960" s="17" t="s">
        <v>1729</v>
      </c>
      <c r="C1960" s="18">
        <f>ROUNDUP(SUM(D1960+E1960+F1960+G1960+H1960+I1960+J1960+K1960+M1960+O1960+P1960+Q1960+R1960+S1960),2)</f>
        <v>8745446.5500000007</v>
      </c>
      <c r="D1960" s="18"/>
      <c r="E1960" s="18"/>
      <c r="F1960" s="18"/>
      <c r="G1960" s="18"/>
      <c r="H1960" s="18"/>
      <c r="I1960" s="18"/>
      <c r="J1960" s="18"/>
      <c r="K1960" s="18"/>
      <c r="L1960" s="10"/>
      <c r="M1960" s="18"/>
      <c r="N1960" s="10" t="s">
        <v>552</v>
      </c>
      <c r="O1960" s="18">
        <v>8745446.5500000007</v>
      </c>
      <c r="P1960" s="18"/>
      <c r="Q1960" s="18"/>
      <c r="R1960" s="18"/>
      <c r="S1960" s="18"/>
    </row>
    <row r="1961" spans="1:19" ht="15" customHeight="1" x14ac:dyDescent="0.25">
      <c r="A1961" s="33"/>
      <c r="B1961" s="33" t="s">
        <v>2060</v>
      </c>
      <c r="C1961" s="18">
        <f>ROUND(D1961+E1961+F1961+G1961+H1961+I1961+J1961+K1961+M1961+O1961+P1961+Q1961+R1961+S1961,2)</f>
        <v>102813212.02</v>
      </c>
      <c r="D1961" s="18">
        <f>SUM(D1954:D1960)</f>
        <v>198670.77</v>
      </c>
      <c r="E1961" s="18">
        <f t="shared" ref="E1961:S1961" si="153">SUM(E1954:E1960)</f>
        <v>0</v>
      </c>
      <c r="F1961" s="18">
        <f t="shared" si="153"/>
        <v>0</v>
      </c>
      <c r="G1961" s="18">
        <f t="shared" si="153"/>
        <v>2430336.2999999998</v>
      </c>
      <c r="H1961" s="18">
        <f t="shared" si="153"/>
        <v>0</v>
      </c>
      <c r="I1961" s="18">
        <f t="shared" si="153"/>
        <v>0</v>
      </c>
      <c r="J1961" s="18">
        <f t="shared" si="153"/>
        <v>0</v>
      </c>
      <c r="K1961" s="18">
        <f t="shared" si="153"/>
        <v>0</v>
      </c>
      <c r="L1961" s="10">
        <f t="shared" si="153"/>
        <v>0</v>
      </c>
      <c r="M1961" s="18">
        <f t="shared" si="153"/>
        <v>0</v>
      </c>
      <c r="N1961" s="18" t="s">
        <v>42</v>
      </c>
      <c r="O1961" s="18">
        <f t="shared" si="153"/>
        <v>8745446.5500000007</v>
      </c>
      <c r="P1961" s="18">
        <f t="shared" si="153"/>
        <v>864235.08</v>
      </c>
      <c r="Q1961" s="18">
        <f t="shared" si="153"/>
        <v>0</v>
      </c>
      <c r="R1961" s="18">
        <f t="shared" si="153"/>
        <v>90574523.319999993</v>
      </c>
      <c r="S1961" s="18">
        <f t="shared" si="153"/>
        <v>0</v>
      </c>
    </row>
    <row r="1962" spans="1:19" ht="15" customHeight="1" x14ac:dyDescent="0.25">
      <c r="A1962" s="34"/>
      <c r="B1962" s="34" t="s">
        <v>1933</v>
      </c>
      <c r="C1962" s="18"/>
      <c r="D1962" s="13"/>
      <c r="E1962" s="13"/>
      <c r="F1962" s="13"/>
      <c r="G1962" s="13"/>
      <c r="H1962" s="13"/>
      <c r="I1962" s="13"/>
      <c r="J1962" s="13"/>
      <c r="K1962" s="13"/>
      <c r="L1962" s="14"/>
      <c r="M1962" s="13"/>
      <c r="N1962" s="14"/>
      <c r="O1962" s="13"/>
      <c r="P1962" s="13"/>
      <c r="Q1962" s="13"/>
      <c r="R1962" s="13"/>
      <c r="S1962" s="13"/>
    </row>
    <row r="1963" spans="1:19" x14ac:dyDescent="0.25">
      <c r="A1963" s="9" t="s">
        <v>888</v>
      </c>
      <c r="B1963" s="17" t="s">
        <v>2061</v>
      </c>
      <c r="C1963" s="18">
        <f t="shared" ref="C1963:C1988" si="154">ROUNDUP(SUM(D1963+E1963+F1963+G1963+H1963+I1963+J1963+K1963+M1963+O1963+P1963+Q1963+R1963+S1963),2)</f>
        <v>33716781.229999997</v>
      </c>
      <c r="D1963" s="18"/>
      <c r="E1963" s="18">
        <v>476895.65</v>
      </c>
      <c r="F1963" s="18"/>
      <c r="G1963" s="18">
        <v>10403328.24</v>
      </c>
      <c r="H1963" s="18">
        <v>5882051.79</v>
      </c>
      <c r="I1963" s="18">
        <v>2591461.11</v>
      </c>
      <c r="J1963" s="18"/>
      <c r="K1963" s="18"/>
      <c r="L1963" s="10"/>
      <c r="M1963" s="18"/>
      <c r="N1963" s="10"/>
      <c r="O1963" s="18"/>
      <c r="P1963" s="18">
        <v>14363044.439999999</v>
      </c>
      <c r="Q1963" s="18"/>
      <c r="R1963" s="18"/>
      <c r="S1963" s="18"/>
    </row>
    <row r="1964" spans="1:19" x14ac:dyDescent="0.25">
      <c r="A1964" s="9" t="s">
        <v>890</v>
      </c>
      <c r="B1964" s="17" t="s">
        <v>1733</v>
      </c>
      <c r="C1964" s="18">
        <f>ROUNDUP(SUM(D1964+E1964+F1964+G1964+H1964+I1964+J1964+K1964+M1964+O1964+P1964+Q1964+R1964+S1964),2)</f>
        <v>8856777.4100000001</v>
      </c>
      <c r="D1964" s="18"/>
      <c r="E1964" s="18"/>
      <c r="F1964" s="18"/>
      <c r="G1964" s="18">
        <v>4696184.3499999996</v>
      </c>
      <c r="H1964" s="18">
        <v>2804929.94</v>
      </c>
      <c r="I1964" s="49">
        <v>1355663.12</v>
      </c>
      <c r="J1964" s="18"/>
      <c r="K1964" s="18"/>
      <c r="L1964" s="10"/>
      <c r="M1964" s="18"/>
      <c r="N1964" s="10"/>
      <c r="O1964" s="18"/>
      <c r="P1964" s="18"/>
      <c r="Q1964" s="18"/>
      <c r="R1964" s="18"/>
      <c r="S1964" s="18"/>
    </row>
    <row r="1965" spans="1:19" x14ac:dyDescent="0.25">
      <c r="A1965" s="9" t="s">
        <v>892</v>
      </c>
      <c r="B1965" s="17" t="s">
        <v>1737</v>
      </c>
      <c r="C1965" s="18">
        <f t="shared" si="154"/>
        <v>13109621.470000001</v>
      </c>
      <c r="D1965" s="18"/>
      <c r="E1965" s="18"/>
      <c r="F1965" s="18"/>
      <c r="G1965" s="18">
        <v>7462033.3700000001</v>
      </c>
      <c r="H1965" s="18"/>
      <c r="I1965" s="18">
        <v>1455882.39</v>
      </c>
      <c r="J1965" s="18"/>
      <c r="K1965" s="18"/>
      <c r="L1965" s="10"/>
      <c r="M1965" s="18"/>
      <c r="N1965" s="10"/>
      <c r="O1965" s="18"/>
      <c r="P1965" s="18">
        <v>4191705.71</v>
      </c>
      <c r="Q1965" s="18"/>
      <c r="R1965" s="18"/>
      <c r="S1965" s="18"/>
    </row>
    <row r="1966" spans="1:19" x14ac:dyDescent="0.25">
      <c r="A1966" s="9" t="s">
        <v>894</v>
      </c>
      <c r="B1966" s="17" t="s">
        <v>1739</v>
      </c>
      <c r="C1966" s="18">
        <f>ROUNDUP(SUM(D1966+E1966+F1966+G1966+H1966+I1966+J1966+K1966+M1966+O1966+P1966+Q1966+R1966+S1966),2)</f>
        <v>56702942.869999997</v>
      </c>
      <c r="D1966" s="18"/>
      <c r="E1966" s="18"/>
      <c r="F1966" s="18"/>
      <c r="G1966" s="18"/>
      <c r="H1966" s="18"/>
      <c r="I1966" s="18"/>
      <c r="J1966" s="18"/>
      <c r="K1966" s="18"/>
      <c r="L1966" s="10"/>
      <c r="M1966" s="18"/>
      <c r="N1966" s="10"/>
      <c r="O1966" s="18"/>
      <c r="P1966" s="18"/>
      <c r="Q1966" s="18"/>
      <c r="R1966" s="18">
        <v>56702942.870000005</v>
      </c>
      <c r="S1966" s="18"/>
    </row>
    <row r="1967" spans="1:19" x14ac:dyDescent="0.25">
      <c r="A1967" s="9" t="s">
        <v>896</v>
      </c>
      <c r="B1967" s="17" t="s">
        <v>1743</v>
      </c>
      <c r="C1967" s="18">
        <f t="shared" si="154"/>
        <v>2814868.41</v>
      </c>
      <c r="D1967" s="18">
        <v>24278.14</v>
      </c>
      <c r="E1967" s="18"/>
      <c r="F1967" s="18"/>
      <c r="G1967" s="18">
        <v>1631659.88</v>
      </c>
      <c r="H1967" s="18">
        <v>707042.03</v>
      </c>
      <c r="I1967" s="18">
        <v>451888.36</v>
      </c>
      <c r="J1967" s="18"/>
      <c r="K1967" s="18"/>
      <c r="L1967" s="10"/>
      <c r="M1967" s="18"/>
      <c r="N1967" s="10"/>
      <c r="O1967" s="18"/>
      <c r="P1967" s="18"/>
      <c r="Q1967" s="18"/>
      <c r="R1967" s="18"/>
      <c r="S1967" s="18"/>
    </row>
    <row r="1968" spans="1:19" x14ac:dyDescent="0.25">
      <c r="A1968" s="9" t="s">
        <v>898</v>
      </c>
      <c r="B1968" s="17" t="s">
        <v>1745</v>
      </c>
      <c r="C1968" s="18">
        <f t="shared" si="154"/>
        <v>6387974.8899999997</v>
      </c>
      <c r="D1968" s="18">
        <v>22219.16</v>
      </c>
      <c r="E1968" s="18"/>
      <c r="F1968" s="18">
        <v>2462589.5599999996</v>
      </c>
      <c r="G1968" s="18">
        <v>1373347.96</v>
      </c>
      <c r="H1968" s="18">
        <v>757465.46</v>
      </c>
      <c r="I1968" s="18">
        <v>423113.14</v>
      </c>
      <c r="J1968" s="18">
        <v>1349239.61</v>
      </c>
      <c r="K1968" s="18"/>
      <c r="L1968" s="10"/>
      <c r="M1968" s="18"/>
      <c r="N1968" s="10"/>
      <c r="O1968" s="18"/>
      <c r="P1968" s="18"/>
      <c r="Q1968" s="18"/>
      <c r="R1968" s="18"/>
      <c r="S1968" s="18"/>
    </row>
    <row r="1969" spans="1:19" x14ac:dyDescent="0.25">
      <c r="A1969" s="9" t="s">
        <v>902</v>
      </c>
      <c r="B1969" s="17" t="s">
        <v>1749</v>
      </c>
      <c r="C1969" s="18">
        <f t="shared" si="154"/>
        <v>9764742.2300000004</v>
      </c>
      <c r="D1969" s="18">
        <v>84220.540000000008</v>
      </c>
      <c r="E1969" s="18"/>
      <c r="F1969" s="18">
        <v>3924631.27</v>
      </c>
      <c r="G1969" s="18"/>
      <c r="H1969" s="18"/>
      <c r="I1969" s="18"/>
      <c r="J1969" s="18"/>
      <c r="K1969" s="18"/>
      <c r="L1969" s="10"/>
      <c r="M1969" s="18"/>
      <c r="N1969" s="10"/>
      <c r="O1969" s="18"/>
      <c r="P1969" s="18">
        <v>5755890.4199999999</v>
      </c>
      <c r="Q1969" s="18"/>
      <c r="R1969" s="18"/>
      <c r="S1969" s="18"/>
    </row>
    <row r="1970" spans="1:19" x14ac:dyDescent="0.25">
      <c r="A1970" s="9" t="s">
        <v>904</v>
      </c>
      <c r="B1970" s="17" t="s">
        <v>1751</v>
      </c>
      <c r="C1970" s="18">
        <f t="shared" si="154"/>
        <v>2617549.6800000002</v>
      </c>
      <c r="D1970" s="18">
        <v>22576.27</v>
      </c>
      <c r="E1970" s="18"/>
      <c r="F1970" s="18">
        <v>2594973.41</v>
      </c>
      <c r="G1970" s="18"/>
      <c r="H1970" s="18"/>
      <c r="I1970" s="18"/>
      <c r="J1970" s="18"/>
      <c r="K1970" s="18"/>
      <c r="L1970" s="10"/>
      <c r="M1970" s="18"/>
      <c r="N1970" s="10"/>
      <c r="O1970" s="18"/>
      <c r="P1970" s="18"/>
      <c r="Q1970" s="18"/>
      <c r="R1970" s="18"/>
      <c r="S1970" s="18"/>
    </row>
    <row r="1971" spans="1:19" x14ac:dyDescent="0.25">
      <c r="A1971" s="9" t="s">
        <v>906</v>
      </c>
      <c r="B1971" s="17" t="s">
        <v>2062</v>
      </c>
      <c r="C1971" s="18">
        <f>ROUNDUP(SUM(D1971+E1971+F1971+G1971+H1971+I1971+J1971+K1971+M1971+O1971+P1971+Q1971+R1971+S1971),2)</f>
        <v>16882320.59</v>
      </c>
      <c r="D1971" s="18">
        <v>349601.75</v>
      </c>
      <c r="E1971" s="18">
        <v>111781.89</v>
      </c>
      <c r="F1971" s="18"/>
      <c r="G1971" s="18"/>
      <c r="H1971" s="18"/>
      <c r="I1971" s="18"/>
      <c r="J1971" s="18"/>
      <c r="K1971" s="18"/>
      <c r="L1971" s="10">
        <v>4</v>
      </c>
      <c r="M1971" s="18">
        <v>16420936.949999999</v>
      </c>
      <c r="N1971" s="10"/>
      <c r="O1971" s="18"/>
      <c r="P1971" s="18"/>
      <c r="Q1971" s="18"/>
      <c r="R1971" s="18"/>
      <c r="S1971" s="18"/>
    </row>
    <row r="1972" spans="1:19" x14ac:dyDescent="0.25">
      <c r="A1972" s="9" t="s">
        <v>908</v>
      </c>
      <c r="B1972" s="17" t="s">
        <v>1753</v>
      </c>
      <c r="C1972" s="18">
        <f t="shared" si="154"/>
        <v>18294445.140000001</v>
      </c>
      <c r="D1972" s="18"/>
      <c r="E1972" s="18"/>
      <c r="F1972" s="18"/>
      <c r="G1972" s="18">
        <v>8644300.2200000007</v>
      </c>
      <c r="H1972" s="18">
        <v>4476931.5599999996</v>
      </c>
      <c r="I1972" s="18">
        <v>1272317.3400000001</v>
      </c>
      <c r="J1972" s="18"/>
      <c r="K1972" s="18"/>
      <c r="L1972" s="10"/>
      <c r="M1972" s="18"/>
      <c r="N1972" s="10"/>
      <c r="O1972" s="18"/>
      <c r="P1972" s="18">
        <v>3900896.02</v>
      </c>
      <c r="Q1972" s="18"/>
      <c r="R1972" s="18"/>
      <c r="S1972" s="18"/>
    </row>
    <row r="1973" spans="1:19" x14ac:dyDescent="0.25">
      <c r="A1973" s="9" t="s">
        <v>910</v>
      </c>
      <c r="B1973" s="17" t="s">
        <v>1755</v>
      </c>
      <c r="C1973" s="18">
        <f t="shared" si="154"/>
        <v>30423042.789999999</v>
      </c>
      <c r="D1973" s="18">
        <v>1565.94</v>
      </c>
      <c r="E1973" s="18"/>
      <c r="F1973" s="18"/>
      <c r="G1973" s="18">
        <v>12584881.449999999</v>
      </c>
      <c r="H1973" s="18">
        <v>8305081.9800000004</v>
      </c>
      <c r="I1973" s="18">
        <v>3626491.14</v>
      </c>
      <c r="J1973" s="18">
        <v>1151590.01</v>
      </c>
      <c r="K1973" s="18"/>
      <c r="L1973" s="10"/>
      <c r="M1973" s="18"/>
      <c r="N1973" s="10"/>
      <c r="O1973" s="18"/>
      <c r="P1973" s="18">
        <v>4753432.2699999996</v>
      </c>
      <c r="Q1973" s="18"/>
      <c r="R1973" s="18"/>
      <c r="S1973" s="18"/>
    </row>
    <row r="1974" spans="1:19" x14ac:dyDescent="0.25">
      <c r="A1974" s="9" t="s">
        <v>912</v>
      </c>
      <c r="B1974" s="17" t="s">
        <v>1759</v>
      </c>
      <c r="C1974" s="18">
        <f t="shared" si="154"/>
        <v>34573153.670000002</v>
      </c>
      <c r="D1974" s="18">
        <v>1849.57</v>
      </c>
      <c r="E1974" s="18"/>
      <c r="F1974" s="18"/>
      <c r="G1974" s="18">
        <v>14001875.51</v>
      </c>
      <c r="H1974" s="18">
        <v>9240192.2300000004</v>
      </c>
      <c r="I1974" s="18">
        <v>4034815.71</v>
      </c>
      <c r="J1974" s="18"/>
      <c r="K1974" s="18"/>
      <c r="L1974" s="10"/>
      <c r="M1974" s="18"/>
      <c r="N1974" s="10"/>
      <c r="O1974" s="18"/>
      <c r="P1974" s="18">
        <v>7294420.6500000004</v>
      </c>
      <c r="Q1974" s="18"/>
      <c r="R1974" s="18"/>
      <c r="S1974" s="18"/>
    </row>
    <row r="1975" spans="1:19" x14ac:dyDescent="0.25">
      <c r="A1975" s="9" t="s">
        <v>914</v>
      </c>
      <c r="B1975" s="17" t="s">
        <v>1763</v>
      </c>
      <c r="C1975" s="18">
        <f t="shared" si="154"/>
        <v>8554806.6899999995</v>
      </c>
      <c r="D1975" s="18">
        <v>91946</v>
      </c>
      <c r="E1975" s="18"/>
      <c r="F1975" s="18"/>
      <c r="G1975" s="18"/>
      <c r="H1975" s="18">
        <v>1234289.25</v>
      </c>
      <c r="I1975" s="18">
        <v>550387.75</v>
      </c>
      <c r="J1975" s="18"/>
      <c r="K1975" s="18"/>
      <c r="L1975" s="10"/>
      <c r="M1975" s="18"/>
      <c r="N1975" s="10"/>
      <c r="O1975" s="18"/>
      <c r="P1975" s="18">
        <v>6678183.6899999995</v>
      </c>
      <c r="Q1975" s="18"/>
      <c r="R1975" s="18"/>
      <c r="S1975" s="18"/>
    </row>
    <row r="1976" spans="1:19" x14ac:dyDescent="0.25">
      <c r="A1976" s="9" t="s">
        <v>916</v>
      </c>
      <c r="B1976" s="17" t="s">
        <v>1765</v>
      </c>
      <c r="C1976" s="18">
        <f t="shared" si="154"/>
        <v>6236110.5</v>
      </c>
      <c r="D1976" s="18"/>
      <c r="E1976" s="18"/>
      <c r="F1976" s="18"/>
      <c r="G1976" s="18">
        <v>1224477.33</v>
      </c>
      <c r="H1976" s="18">
        <v>1809013.07</v>
      </c>
      <c r="I1976" s="18">
        <v>787346.5</v>
      </c>
      <c r="J1976" s="18"/>
      <c r="K1976" s="18"/>
      <c r="L1976" s="10"/>
      <c r="M1976" s="18"/>
      <c r="N1976" s="10"/>
      <c r="O1976" s="18"/>
      <c r="P1976" s="18">
        <v>2415273.6</v>
      </c>
      <c r="Q1976" s="18"/>
      <c r="R1976" s="18"/>
      <c r="S1976" s="18"/>
    </row>
    <row r="1977" spans="1:19" x14ac:dyDescent="0.25">
      <c r="A1977" s="9" t="s">
        <v>918</v>
      </c>
      <c r="B1977" s="17" t="s">
        <v>1767</v>
      </c>
      <c r="C1977" s="18">
        <f t="shared" si="154"/>
        <v>3803322.89</v>
      </c>
      <c r="D1977" s="18"/>
      <c r="E1977" s="18"/>
      <c r="F1977" s="18"/>
      <c r="G1977" s="18">
        <v>1986747.47</v>
      </c>
      <c r="H1977" s="18">
        <v>1276961.1000000001</v>
      </c>
      <c r="I1977" s="18">
        <v>539614.31999999995</v>
      </c>
      <c r="J1977" s="18"/>
      <c r="K1977" s="18"/>
      <c r="L1977" s="10"/>
      <c r="M1977" s="18"/>
      <c r="N1977" s="10"/>
      <c r="O1977" s="18"/>
      <c r="P1977" s="18"/>
      <c r="Q1977" s="18"/>
      <c r="R1977" s="18"/>
      <c r="S1977" s="18"/>
    </row>
    <row r="1978" spans="1:19" x14ac:dyDescent="0.25">
      <c r="A1978" s="9" t="s">
        <v>920</v>
      </c>
      <c r="B1978" s="17" t="s">
        <v>1769</v>
      </c>
      <c r="C1978" s="18">
        <f t="shared" si="154"/>
        <v>8873453.3200000003</v>
      </c>
      <c r="D1978" s="18"/>
      <c r="E1978" s="18"/>
      <c r="F1978" s="18"/>
      <c r="G1978" s="18">
        <v>3228594.62</v>
      </c>
      <c r="H1978" s="18"/>
      <c r="I1978" s="18"/>
      <c r="J1978" s="18"/>
      <c r="K1978" s="18"/>
      <c r="L1978" s="10"/>
      <c r="M1978" s="18"/>
      <c r="N1978" s="10"/>
      <c r="O1978" s="18"/>
      <c r="P1978" s="18"/>
      <c r="Q1978" s="18"/>
      <c r="R1978" s="18"/>
      <c r="S1978" s="18">
        <v>5644858.7000000002</v>
      </c>
    </row>
    <row r="1979" spans="1:19" x14ac:dyDescent="0.25">
      <c r="A1979" s="9" t="s">
        <v>922</v>
      </c>
      <c r="B1979" s="17" t="s">
        <v>1773</v>
      </c>
      <c r="C1979" s="18">
        <f t="shared" si="154"/>
        <v>10794073.76</v>
      </c>
      <c r="D1979" s="18">
        <v>93202.44</v>
      </c>
      <c r="E1979" s="18"/>
      <c r="F1979" s="18"/>
      <c r="G1979" s="18">
        <v>4373019.8199999994</v>
      </c>
      <c r="H1979" s="18">
        <v>2885866.52</v>
      </c>
      <c r="I1979" s="18">
        <v>1260140.4099999999</v>
      </c>
      <c r="J1979" s="18"/>
      <c r="K1979" s="18"/>
      <c r="L1979" s="10"/>
      <c r="M1979" s="18"/>
      <c r="N1979" s="10"/>
      <c r="O1979" s="18"/>
      <c r="P1979" s="18">
        <v>2181844.5699999998</v>
      </c>
      <c r="Q1979" s="18"/>
      <c r="R1979" s="18"/>
      <c r="S1979" s="18"/>
    </row>
    <row r="1980" spans="1:19" x14ac:dyDescent="0.25">
      <c r="A1980" s="9" t="s">
        <v>924</v>
      </c>
      <c r="B1980" s="17" t="s">
        <v>1775</v>
      </c>
      <c r="C1980" s="18">
        <f t="shared" si="154"/>
        <v>39797565.789999999</v>
      </c>
      <c r="D1980" s="18">
        <v>2129.0500000000002</v>
      </c>
      <c r="E1980" s="18"/>
      <c r="F1980" s="18"/>
      <c r="G1980" s="18">
        <v>15080032.199999999</v>
      </c>
      <c r="H1980" s="18">
        <v>9951695.1400000006</v>
      </c>
      <c r="I1980" s="18">
        <v>4345500.0599999996</v>
      </c>
      <c r="J1980" s="18"/>
      <c r="K1980" s="18"/>
      <c r="L1980" s="10"/>
      <c r="M1980" s="18"/>
      <c r="N1980" s="10"/>
      <c r="O1980" s="18"/>
      <c r="P1980" s="18">
        <v>10418209.34</v>
      </c>
      <c r="Q1980" s="18"/>
      <c r="R1980" s="18"/>
      <c r="S1980" s="18"/>
    </row>
    <row r="1981" spans="1:19" x14ac:dyDescent="0.25">
      <c r="A1981" s="9" t="s">
        <v>926</v>
      </c>
      <c r="B1981" s="17" t="s">
        <v>2063</v>
      </c>
      <c r="C1981" s="18">
        <f>ROUNDUP(SUM(D1981+E1981+F1981+G1981+H1981+I1981+J1981+K1981+M1981+O1981+P1981+Q1981+R1981+S1981),2)</f>
        <v>62569619.799999997</v>
      </c>
      <c r="D1981" s="18"/>
      <c r="E1981" s="18">
        <v>873629.36</v>
      </c>
      <c r="F1981" s="18"/>
      <c r="G1981" s="18">
        <v>8581269.4199999999</v>
      </c>
      <c r="H1981" s="18"/>
      <c r="I1981" s="18"/>
      <c r="J1981" s="18"/>
      <c r="K1981" s="18"/>
      <c r="L1981" s="10"/>
      <c r="M1981" s="18"/>
      <c r="N1981" s="10" t="s">
        <v>1898</v>
      </c>
      <c r="O1981" s="18">
        <v>53114721.020000003</v>
      </c>
      <c r="P1981" s="18"/>
      <c r="Q1981" s="18"/>
      <c r="R1981" s="18"/>
      <c r="S1981" s="18"/>
    </row>
    <row r="1982" spans="1:19" x14ac:dyDescent="0.25">
      <c r="A1982" s="9" t="s">
        <v>928</v>
      </c>
      <c r="B1982" s="17" t="s">
        <v>1777</v>
      </c>
      <c r="C1982" s="18">
        <f t="shared" si="154"/>
        <v>5727815.9400000004</v>
      </c>
      <c r="D1982" s="18"/>
      <c r="E1982" s="18"/>
      <c r="F1982" s="18"/>
      <c r="G1982" s="18"/>
      <c r="H1982" s="18"/>
      <c r="I1982" s="18"/>
      <c r="J1982" s="18">
        <v>5727815.9400000004</v>
      </c>
      <c r="K1982" s="18"/>
      <c r="L1982" s="10"/>
      <c r="M1982" s="18"/>
      <c r="N1982" s="10"/>
      <c r="O1982" s="18"/>
      <c r="P1982" s="18"/>
      <c r="Q1982" s="18"/>
      <c r="R1982" s="18"/>
      <c r="S1982" s="18"/>
    </row>
    <row r="1983" spans="1:19" x14ac:dyDescent="0.25">
      <c r="A1983" s="9" t="s">
        <v>930</v>
      </c>
      <c r="B1983" s="17" t="s">
        <v>1781</v>
      </c>
      <c r="C1983" s="18">
        <f t="shared" si="154"/>
        <v>3563673.27</v>
      </c>
      <c r="D1983" s="18">
        <v>30736.55</v>
      </c>
      <c r="E1983" s="18"/>
      <c r="F1983" s="18"/>
      <c r="G1983" s="18">
        <v>2292491.8199999998</v>
      </c>
      <c r="H1983" s="18">
        <v>672633.6</v>
      </c>
      <c r="I1983" s="18">
        <v>567811.30000000005</v>
      </c>
      <c r="J1983" s="18"/>
      <c r="K1983" s="18"/>
      <c r="L1983" s="10"/>
      <c r="M1983" s="18"/>
      <c r="N1983" s="10"/>
      <c r="O1983" s="18"/>
      <c r="P1983" s="18"/>
      <c r="Q1983" s="18"/>
      <c r="R1983" s="18"/>
      <c r="S1983" s="18"/>
    </row>
    <row r="1984" spans="1:19" x14ac:dyDescent="0.25">
      <c r="A1984" s="9" t="s">
        <v>932</v>
      </c>
      <c r="B1984" s="17" t="s">
        <v>1791</v>
      </c>
      <c r="C1984" s="18">
        <f t="shared" si="154"/>
        <v>2817817.7</v>
      </c>
      <c r="D1984" s="18"/>
      <c r="E1984" s="18"/>
      <c r="F1984" s="18"/>
      <c r="G1984" s="18"/>
      <c r="H1984" s="18"/>
      <c r="I1984" s="18"/>
      <c r="J1984" s="18"/>
      <c r="K1984" s="18"/>
      <c r="L1984" s="10"/>
      <c r="M1984" s="18"/>
      <c r="N1984" s="10"/>
      <c r="O1984" s="18"/>
      <c r="P1984" s="18">
        <v>2817817.6999999997</v>
      </c>
      <c r="Q1984" s="18"/>
      <c r="R1984" s="18"/>
      <c r="S1984" s="18"/>
    </row>
    <row r="1985" spans="1:19" x14ac:dyDescent="0.25">
      <c r="A1985" s="9" t="s">
        <v>934</v>
      </c>
      <c r="B1985" s="17" t="s">
        <v>1795</v>
      </c>
      <c r="C1985" s="18">
        <f t="shared" si="154"/>
        <v>4548729</v>
      </c>
      <c r="D1985" s="18"/>
      <c r="E1985" s="18"/>
      <c r="F1985" s="18"/>
      <c r="G1985" s="18">
        <v>1438133.75</v>
      </c>
      <c r="H1985" s="18">
        <v>2291872.23</v>
      </c>
      <c r="I1985" s="18">
        <v>818723.02</v>
      </c>
      <c r="J1985" s="18"/>
      <c r="K1985" s="18"/>
      <c r="L1985" s="10"/>
      <c r="M1985" s="18"/>
      <c r="N1985" s="10"/>
      <c r="O1985" s="18"/>
      <c r="P1985" s="18"/>
      <c r="Q1985" s="18"/>
      <c r="R1985" s="18"/>
      <c r="S1985" s="18"/>
    </row>
    <row r="1986" spans="1:19" ht="15" customHeight="1" x14ac:dyDescent="0.25">
      <c r="A1986" s="9" t="s">
        <v>936</v>
      </c>
      <c r="B1986" s="17" t="s">
        <v>1797</v>
      </c>
      <c r="C1986" s="18">
        <f>ROUNDUP(SUM(D1986+E1986+F1986+G1986+H1986+I1986+J1986+K1986+M1986+O1986+P1986+Q1986+R1986+S1986),2)</f>
        <v>5222478.97</v>
      </c>
      <c r="D1986" s="18"/>
      <c r="E1986" s="18"/>
      <c r="F1986" s="18"/>
      <c r="G1986" s="18">
        <v>2654336.21</v>
      </c>
      <c r="H1986" s="18">
        <v>1779070.35</v>
      </c>
      <c r="I1986" s="18">
        <v>789072.41</v>
      </c>
      <c r="J1986" s="18"/>
      <c r="K1986" s="18"/>
      <c r="L1986" s="10"/>
      <c r="M1986" s="18"/>
      <c r="N1986" s="10"/>
      <c r="O1986" s="18"/>
      <c r="P1986" s="18"/>
      <c r="Q1986" s="18"/>
      <c r="R1986" s="18"/>
      <c r="S1986" s="18"/>
    </row>
    <row r="1987" spans="1:19" x14ac:dyDescent="0.25">
      <c r="A1987" s="9" t="s">
        <v>938</v>
      </c>
      <c r="B1987" s="17" t="s">
        <v>1803</v>
      </c>
      <c r="C1987" s="18">
        <f t="shared" si="154"/>
        <v>12801963.640000001</v>
      </c>
      <c r="D1987" s="18"/>
      <c r="E1987" s="18"/>
      <c r="F1987" s="18"/>
      <c r="G1987" s="18">
        <v>3964774.33</v>
      </c>
      <c r="H1987" s="18">
        <v>2111501.9500000002</v>
      </c>
      <c r="I1987" s="18">
        <v>1277898.9099999999</v>
      </c>
      <c r="J1987" s="18"/>
      <c r="K1987" s="18"/>
      <c r="L1987" s="10"/>
      <c r="M1987" s="18"/>
      <c r="N1987" s="10"/>
      <c r="O1987" s="18"/>
      <c r="P1987" s="18">
        <v>5447788.4500000002</v>
      </c>
      <c r="Q1987" s="18"/>
      <c r="R1987" s="18"/>
      <c r="S1987" s="18"/>
    </row>
    <row r="1988" spans="1:19" x14ac:dyDescent="0.25">
      <c r="A1988" s="9" t="s">
        <v>940</v>
      </c>
      <c r="B1988" s="17" t="s">
        <v>2064</v>
      </c>
      <c r="C1988" s="18">
        <f t="shared" si="154"/>
        <v>4242017.41</v>
      </c>
      <c r="D1988" s="18"/>
      <c r="E1988" s="18">
        <v>145451.38</v>
      </c>
      <c r="F1988" s="18"/>
      <c r="G1988" s="18"/>
      <c r="H1988" s="18">
        <v>4096566.03</v>
      </c>
      <c r="I1988" s="18"/>
      <c r="J1988" s="18"/>
      <c r="K1988" s="18"/>
      <c r="L1988" s="10"/>
      <c r="M1988" s="18"/>
      <c r="N1988" s="18"/>
      <c r="O1988" s="18"/>
      <c r="P1988" s="18"/>
      <c r="Q1988" s="18"/>
      <c r="R1988" s="18"/>
      <c r="S1988" s="18"/>
    </row>
    <row r="1989" spans="1:19" x14ac:dyDescent="0.25">
      <c r="A1989" s="9" t="s">
        <v>942</v>
      </c>
      <c r="B1989" s="17" t="s">
        <v>1805</v>
      </c>
      <c r="C1989" s="18">
        <f t="shared" ref="C1989:C1999" si="155">ROUNDUP(SUM(D1989+E1989+F1989+G1989+H1989+I1989+J1989+K1989+M1989+O1989+P1989+Q1989+R1989+S1989),2)</f>
        <v>9238031.7200000007</v>
      </c>
      <c r="D1989" s="18">
        <v>494.2</v>
      </c>
      <c r="E1989" s="18"/>
      <c r="F1989" s="18"/>
      <c r="G1989" s="18">
        <v>4741848.55</v>
      </c>
      <c r="H1989" s="18">
        <v>3129265.95</v>
      </c>
      <c r="I1989" s="18">
        <v>1366423.02</v>
      </c>
      <c r="J1989" s="18"/>
      <c r="K1989" s="18"/>
      <c r="L1989" s="10"/>
      <c r="M1989" s="18"/>
      <c r="N1989" s="18"/>
      <c r="O1989" s="18"/>
      <c r="P1989" s="18"/>
      <c r="Q1989" s="18"/>
      <c r="R1989" s="18"/>
      <c r="S1989" s="18"/>
    </row>
    <row r="1990" spans="1:19" x14ac:dyDescent="0.25">
      <c r="A1990" s="9" t="s">
        <v>946</v>
      </c>
      <c r="B1990" s="17" t="s">
        <v>1807</v>
      </c>
      <c r="C1990" s="18">
        <f t="shared" si="155"/>
        <v>2558724.64</v>
      </c>
      <c r="D1990" s="18">
        <v>22068.9</v>
      </c>
      <c r="E1990" s="18"/>
      <c r="F1990" s="18"/>
      <c r="G1990" s="18">
        <v>1528412.64</v>
      </c>
      <c r="H1990" s="18">
        <v>598816.02</v>
      </c>
      <c r="I1990" s="18">
        <v>409427.08</v>
      </c>
      <c r="J1990" s="18"/>
      <c r="K1990" s="18"/>
      <c r="L1990" s="10"/>
      <c r="M1990" s="18"/>
      <c r="N1990" s="18"/>
      <c r="O1990" s="18"/>
      <c r="P1990" s="18"/>
      <c r="Q1990" s="18"/>
      <c r="R1990" s="18"/>
      <c r="S1990" s="18"/>
    </row>
    <row r="1991" spans="1:19" x14ac:dyDescent="0.25">
      <c r="A1991" s="9" t="s">
        <v>948</v>
      </c>
      <c r="B1991" s="17" t="s">
        <v>1809</v>
      </c>
      <c r="C1991" s="18">
        <f t="shared" si="155"/>
        <v>7336157.0800000001</v>
      </c>
      <c r="D1991" s="18">
        <v>28704.46</v>
      </c>
      <c r="E1991" s="18"/>
      <c r="F1991" s="18"/>
      <c r="G1991" s="18">
        <v>1976391.5</v>
      </c>
      <c r="H1991" s="18">
        <v>865577.41</v>
      </c>
      <c r="I1991" s="18">
        <v>457394.16</v>
      </c>
      <c r="J1991" s="18"/>
      <c r="K1991" s="18"/>
      <c r="L1991" s="10"/>
      <c r="M1991" s="18"/>
      <c r="N1991" s="10"/>
      <c r="O1991" s="18"/>
      <c r="P1991" s="18">
        <v>4008089.55</v>
      </c>
      <c r="Q1991" s="18"/>
      <c r="R1991" s="18"/>
      <c r="S1991" s="18"/>
    </row>
    <row r="1992" spans="1:19" x14ac:dyDescent="0.25">
      <c r="A1992" s="9" t="s">
        <v>950</v>
      </c>
      <c r="B1992" s="17" t="s">
        <v>1811</v>
      </c>
      <c r="C1992" s="18">
        <f t="shared" si="155"/>
        <v>12204305.58</v>
      </c>
      <c r="D1992" s="18">
        <v>652.9</v>
      </c>
      <c r="E1992" s="18"/>
      <c r="F1992" s="18"/>
      <c r="G1992" s="18"/>
      <c r="H1992" s="18">
        <v>3306557.57</v>
      </c>
      <c r="I1992" s="18">
        <v>1443839.06</v>
      </c>
      <c r="J1992" s="18"/>
      <c r="K1992" s="18"/>
      <c r="L1992" s="10"/>
      <c r="M1992" s="18"/>
      <c r="N1992" s="10"/>
      <c r="O1992" s="18"/>
      <c r="P1992" s="18"/>
      <c r="Q1992" s="18">
        <v>7453256.0499999998</v>
      </c>
      <c r="R1992" s="18"/>
      <c r="S1992" s="18"/>
    </row>
    <row r="1993" spans="1:19" x14ac:dyDescent="0.25">
      <c r="A1993" s="9" t="s">
        <v>952</v>
      </c>
      <c r="B1993" s="17" t="s">
        <v>1817</v>
      </c>
      <c r="C1993" s="18">
        <f t="shared" si="155"/>
        <v>6790511.5300000003</v>
      </c>
      <c r="D1993" s="18">
        <v>58633.32</v>
      </c>
      <c r="E1993" s="18"/>
      <c r="F1993" s="18"/>
      <c r="G1993" s="18">
        <v>3455633.8099999996</v>
      </c>
      <c r="H1993" s="18">
        <v>2280460.2599999998</v>
      </c>
      <c r="I1993" s="18">
        <v>995784.14</v>
      </c>
      <c r="J1993" s="18"/>
      <c r="K1993" s="18"/>
      <c r="L1993" s="10"/>
      <c r="M1993" s="18"/>
      <c r="N1993" s="10"/>
      <c r="O1993" s="18"/>
      <c r="P1993" s="18"/>
      <c r="Q1993" s="18"/>
      <c r="R1993" s="18"/>
      <c r="S1993" s="18"/>
    </row>
    <row r="1994" spans="1:19" x14ac:dyDescent="0.25">
      <c r="A1994" s="9" t="s">
        <v>954</v>
      </c>
      <c r="B1994" s="17" t="s">
        <v>2065</v>
      </c>
      <c r="C1994" s="18">
        <f t="shared" si="155"/>
        <v>5884828.2599999998</v>
      </c>
      <c r="D1994" s="18">
        <v>117314.21</v>
      </c>
      <c r="E1994" s="18">
        <v>71340.990000000005</v>
      </c>
      <c r="F1994" s="18"/>
      <c r="G1994" s="18"/>
      <c r="H1994" s="18"/>
      <c r="I1994" s="18"/>
      <c r="J1994" s="18"/>
      <c r="K1994" s="18"/>
      <c r="L1994" s="10">
        <v>1</v>
      </c>
      <c r="M1994" s="18">
        <v>5696173.0599999996</v>
      </c>
      <c r="N1994" s="10"/>
      <c r="O1994" s="18"/>
      <c r="P1994" s="18"/>
      <c r="Q1994" s="18"/>
      <c r="R1994" s="18"/>
      <c r="S1994" s="18"/>
    </row>
    <row r="1995" spans="1:19" x14ac:dyDescent="0.25">
      <c r="A1995" s="9" t="s">
        <v>956</v>
      </c>
      <c r="B1995" s="17" t="s">
        <v>1819</v>
      </c>
      <c r="C1995" s="18">
        <f t="shared" si="155"/>
        <v>14063734.890000001</v>
      </c>
      <c r="D1995" s="18">
        <v>703.15</v>
      </c>
      <c r="E1995" s="18"/>
      <c r="F1995" s="18"/>
      <c r="G1995" s="18">
        <v>3315088.14</v>
      </c>
      <c r="H1995" s="18">
        <v>1648072.21</v>
      </c>
      <c r="I1995" s="18">
        <v>982112.73</v>
      </c>
      <c r="J1995" s="18"/>
      <c r="K1995" s="18"/>
      <c r="L1995" s="10"/>
      <c r="M1995" s="18"/>
      <c r="N1995" s="10"/>
      <c r="O1995" s="18"/>
      <c r="P1995" s="18">
        <v>8117758.6600000001</v>
      </c>
      <c r="Q1995" s="18"/>
      <c r="R1995" s="18"/>
      <c r="S1995" s="18"/>
    </row>
    <row r="1996" spans="1:19" x14ac:dyDescent="0.25">
      <c r="A1996" s="9" t="s">
        <v>958</v>
      </c>
      <c r="B1996" s="17" t="s">
        <v>1821</v>
      </c>
      <c r="C1996" s="18">
        <f t="shared" si="155"/>
        <v>25410631.98</v>
      </c>
      <c r="D1996" s="18">
        <v>1359.4</v>
      </c>
      <c r="E1996" s="18"/>
      <c r="F1996" s="18"/>
      <c r="G1996" s="18">
        <v>8790888.7100000009</v>
      </c>
      <c r="H1996" s="18">
        <v>5777632.8700000001</v>
      </c>
      <c r="I1996" s="18">
        <v>2266071.75</v>
      </c>
      <c r="J1996" s="18"/>
      <c r="K1996" s="18"/>
      <c r="L1996" s="10"/>
      <c r="M1996" s="18"/>
      <c r="N1996" s="10"/>
      <c r="O1996" s="18"/>
      <c r="P1996" s="18">
        <v>8574679.25</v>
      </c>
      <c r="Q1996" s="18"/>
      <c r="R1996" s="18"/>
      <c r="S1996" s="18"/>
    </row>
    <row r="1997" spans="1:19" x14ac:dyDescent="0.25">
      <c r="A1997" s="9" t="s">
        <v>960</v>
      </c>
      <c r="B1997" s="17" t="s">
        <v>1823</v>
      </c>
      <c r="C1997" s="18">
        <f t="shared" si="155"/>
        <v>9094341.4000000004</v>
      </c>
      <c r="D1997" s="18"/>
      <c r="E1997" s="18"/>
      <c r="F1997" s="18"/>
      <c r="G1997" s="18">
        <v>2884167.45</v>
      </c>
      <c r="H1997" s="18">
        <v>1528450.71</v>
      </c>
      <c r="I1997" s="18">
        <v>691585.07</v>
      </c>
      <c r="J1997" s="18"/>
      <c r="K1997" s="18"/>
      <c r="L1997" s="10"/>
      <c r="M1997" s="18"/>
      <c r="N1997" s="10"/>
      <c r="O1997" s="18"/>
      <c r="P1997" s="18">
        <v>3990138.17</v>
      </c>
      <c r="Q1997" s="18"/>
      <c r="R1997" s="18"/>
      <c r="S1997" s="18"/>
    </row>
    <row r="1998" spans="1:19" x14ac:dyDescent="0.25">
      <c r="A1998" s="9" t="s">
        <v>962</v>
      </c>
      <c r="B1998" s="17" t="s">
        <v>1825</v>
      </c>
      <c r="C1998" s="18">
        <f t="shared" si="155"/>
        <v>6010549.2400000002</v>
      </c>
      <c r="D1998" s="18"/>
      <c r="E1998" s="18"/>
      <c r="F1998" s="18"/>
      <c r="G1998" s="18">
        <v>3216287.69</v>
      </c>
      <c r="H1998" s="18">
        <v>1650850.9</v>
      </c>
      <c r="I1998" s="18">
        <v>1143410.6499999999</v>
      </c>
      <c r="J1998" s="18"/>
      <c r="K1998" s="18"/>
      <c r="L1998" s="10"/>
      <c r="M1998" s="18"/>
      <c r="N1998" s="10"/>
      <c r="O1998" s="18"/>
      <c r="P1998" s="18"/>
      <c r="Q1998" s="18"/>
      <c r="R1998" s="18"/>
      <c r="S1998" s="18"/>
    </row>
    <row r="1999" spans="1:19" x14ac:dyDescent="0.25">
      <c r="A1999" s="9" t="s">
        <v>964</v>
      </c>
      <c r="B1999" s="17" t="s">
        <v>1827</v>
      </c>
      <c r="C1999" s="18">
        <f t="shared" si="155"/>
        <v>7566523.1100000003</v>
      </c>
      <c r="D1999" s="18">
        <v>378.3</v>
      </c>
      <c r="E1999" s="18"/>
      <c r="F1999" s="18"/>
      <c r="G1999" s="18">
        <v>2006613.46</v>
      </c>
      <c r="H1999" s="18">
        <v>813549.06</v>
      </c>
      <c r="I1999" s="18">
        <v>549319.19999999995</v>
      </c>
      <c r="J1999" s="18"/>
      <c r="K1999" s="18"/>
      <c r="L1999" s="10"/>
      <c r="M1999" s="18"/>
      <c r="N1999" s="10"/>
      <c r="O1999" s="18"/>
      <c r="P1999" s="18">
        <v>4196663.09</v>
      </c>
      <c r="Q1999" s="18"/>
      <c r="R1999" s="18"/>
      <c r="S1999" s="18"/>
    </row>
    <row r="2000" spans="1:19" x14ac:dyDescent="0.25">
      <c r="A2000" s="9" t="s">
        <v>966</v>
      </c>
      <c r="B2000" s="17" t="s">
        <v>1829</v>
      </c>
      <c r="C2000" s="18">
        <f>ROUNDUP(SUM(D2000+E2000+F2000+G2000+H2000+I2000+J2000+K2000+M2000+O2000+P2000+Q2000+R2000+S2000),2)</f>
        <v>8389694.5999999996</v>
      </c>
      <c r="D2000" s="18"/>
      <c r="E2000" s="18"/>
      <c r="F2000" s="18"/>
      <c r="G2000" s="18">
        <v>4371510.7300000004</v>
      </c>
      <c r="H2000" s="18">
        <v>2988401.02</v>
      </c>
      <c r="I2000" s="18">
        <v>1029782.85</v>
      </c>
      <c r="J2000" s="18"/>
      <c r="K2000" s="18"/>
      <c r="L2000" s="10"/>
      <c r="M2000" s="18"/>
      <c r="N2000" s="10"/>
      <c r="O2000" s="18"/>
      <c r="P2000" s="18"/>
      <c r="Q2000" s="18"/>
      <c r="R2000" s="18"/>
      <c r="S2000" s="18"/>
    </row>
    <row r="2001" spans="1:19" x14ac:dyDescent="0.25">
      <c r="A2001" s="33"/>
      <c r="B2001" s="33" t="s">
        <v>2066</v>
      </c>
      <c r="C2001" s="18">
        <f>ROUND(D2001+E2001+F2001+G2001+H2001+I2001+J2001+K2001+M2001+O2001+P2001+Q2001+R2001+S2001,2)</f>
        <v>528245703.08999997</v>
      </c>
      <c r="D2001" s="18">
        <f t="shared" ref="D2001:S2001" si="156">SUM(D1963:D2000)</f>
        <v>954634.25000000012</v>
      </c>
      <c r="E2001" s="18">
        <f t="shared" si="156"/>
        <v>1679099.2699999998</v>
      </c>
      <c r="F2001" s="18">
        <f t="shared" si="156"/>
        <v>8982194.2400000002</v>
      </c>
      <c r="G2001" s="18">
        <f t="shared" si="156"/>
        <v>141908330.63</v>
      </c>
      <c r="H2001" s="18">
        <f t="shared" si="156"/>
        <v>84870798.210000008</v>
      </c>
      <c r="I2001" s="18">
        <f t="shared" si="156"/>
        <v>37483276.699999996</v>
      </c>
      <c r="J2001" s="18">
        <f t="shared" si="156"/>
        <v>8228645.5600000005</v>
      </c>
      <c r="K2001" s="18">
        <f t="shared" si="156"/>
        <v>0</v>
      </c>
      <c r="L2001" s="10">
        <f t="shared" si="156"/>
        <v>5</v>
      </c>
      <c r="M2001" s="18">
        <f t="shared" si="156"/>
        <v>22117110.009999998</v>
      </c>
      <c r="N2001" s="18" t="s">
        <v>42</v>
      </c>
      <c r="O2001" s="18">
        <f t="shared" si="156"/>
        <v>53114721.020000003</v>
      </c>
      <c r="P2001" s="18">
        <f t="shared" si="156"/>
        <v>99105835.579999998</v>
      </c>
      <c r="Q2001" s="18">
        <f t="shared" si="156"/>
        <v>7453256.0499999998</v>
      </c>
      <c r="R2001" s="18">
        <f t="shared" si="156"/>
        <v>56702942.870000005</v>
      </c>
      <c r="S2001" s="18">
        <f t="shared" si="156"/>
        <v>5644858.7000000002</v>
      </c>
    </row>
    <row r="2002" spans="1:19" x14ac:dyDescent="0.25">
      <c r="A2002" s="34"/>
      <c r="B2002" s="34" t="s">
        <v>1831</v>
      </c>
      <c r="C2002" s="18"/>
      <c r="D2002" s="13"/>
      <c r="E2002" s="13"/>
      <c r="F2002" s="13"/>
      <c r="G2002" s="13"/>
      <c r="H2002" s="13"/>
      <c r="I2002" s="13"/>
      <c r="J2002" s="13"/>
      <c r="K2002" s="13"/>
      <c r="L2002" s="14"/>
      <c r="M2002" s="13"/>
      <c r="N2002" s="14"/>
      <c r="O2002" s="13"/>
      <c r="P2002" s="13"/>
      <c r="Q2002" s="13"/>
      <c r="R2002" s="13"/>
      <c r="S2002" s="13"/>
    </row>
    <row r="2003" spans="1:19" x14ac:dyDescent="0.25">
      <c r="A2003" s="9" t="s">
        <v>968</v>
      </c>
      <c r="B2003" s="17" t="s">
        <v>1833</v>
      </c>
      <c r="C2003" s="18">
        <f t="shared" ref="C2003:C2025" si="157">ROUNDUP(SUM(D2003+E2003+F2003+G2003+H2003+I2003+J2003+K2003+M2003+O2003+P2003+Q2003+R2003+S2003),2)</f>
        <v>33680731.82</v>
      </c>
      <c r="D2003" s="18">
        <v>14031.58</v>
      </c>
      <c r="E2003" s="18"/>
      <c r="F2003" s="18">
        <v>5378916.6799999997</v>
      </c>
      <c r="G2003" s="18">
        <v>19720386.68</v>
      </c>
      <c r="H2003" s="18">
        <v>5531600.3799999999</v>
      </c>
      <c r="I2003" s="18">
        <v>2313338.4</v>
      </c>
      <c r="J2003" s="18">
        <v>722458.1</v>
      </c>
      <c r="K2003" s="18"/>
      <c r="L2003" s="10"/>
      <c r="M2003" s="18"/>
      <c r="N2003" s="10"/>
      <c r="O2003" s="18"/>
      <c r="P2003" s="18"/>
      <c r="Q2003" s="18"/>
      <c r="R2003" s="18"/>
      <c r="S2003" s="18"/>
    </row>
    <row r="2004" spans="1:19" x14ac:dyDescent="0.25">
      <c r="A2004" s="9" t="s">
        <v>970</v>
      </c>
      <c r="B2004" s="17" t="s">
        <v>1835</v>
      </c>
      <c r="C2004" s="18">
        <f t="shared" si="157"/>
        <v>1319312.03</v>
      </c>
      <c r="D2004" s="18">
        <v>26.39</v>
      </c>
      <c r="E2004" s="18"/>
      <c r="F2004" s="18"/>
      <c r="G2004" s="18"/>
      <c r="H2004" s="18"/>
      <c r="I2004" s="18"/>
      <c r="J2004" s="18"/>
      <c r="K2004" s="18"/>
      <c r="L2004" s="10"/>
      <c r="M2004" s="18"/>
      <c r="N2004" s="10"/>
      <c r="O2004" s="18"/>
      <c r="P2004" s="18">
        <v>1319285.6399999999</v>
      </c>
      <c r="Q2004" s="18"/>
      <c r="R2004" s="18"/>
      <c r="S2004" s="18"/>
    </row>
    <row r="2005" spans="1:19" x14ac:dyDescent="0.25">
      <c r="A2005" s="9" t="s">
        <v>972</v>
      </c>
      <c r="B2005" s="17" t="s">
        <v>1839</v>
      </c>
      <c r="C2005" s="18">
        <f t="shared" si="157"/>
        <v>6988296.7699999996</v>
      </c>
      <c r="D2005" s="18">
        <v>168.32999999999998</v>
      </c>
      <c r="E2005" s="18"/>
      <c r="F2005" s="18"/>
      <c r="G2005" s="18">
        <v>1886345.66</v>
      </c>
      <c r="H2005" s="18">
        <v>885670.26</v>
      </c>
      <c r="I2005" s="18">
        <v>520712.99</v>
      </c>
      <c r="J2005" s="18"/>
      <c r="K2005" s="18"/>
      <c r="L2005" s="10"/>
      <c r="M2005" s="18"/>
      <c r="N2005" s="10"/>
      <c r="O2005" s="18"/>
      <c r="P2005" s="18">
        <v>3695399.53</v>
      </c>
      <c r="Q2005" s="18"/>
      <c r="R2005" s="18"/>
      <c r="S2005" s="18"/>
    </row>
    <row r="2006" spans="1:19" x14ac:dyDescent="0.25">
      <c r="A2006" s="9" t="s">
        <v>974</v>
      </c>
      <c r="B2006" s="17" t="s">
        <v>1841</v>
      </c>
      <c r="C2006" s="18">
        <f t="shared" si="157"/>
        <v>13119828.75</v>
      </c>
      <c r="D2006" s="18">
        <v>144.66</v>
      </c>
      <c r="E2006" s="18"/>
      <c r="F2006" s="18"/>
      <c r="G2006" s="18"/>
      <c r="H2006" s="18"/>
      <c r="I2006" s="18"/>
      <c r="J2006" s="18"/>
      <c r="K2006" s="18"/>
      <c r="L2006" s="10"/>
      <c r="M2006" s="18"/>
      <c r="N2006" s="10" t="s">
        <v>509</v>
      </c>
      <c r="O2006" s="18">
        <v>9825195.1600000001</v>
      </c>
      <c r="P2006" s="18">
        <v>3294488.93</v>
      </c>
      <c r="Q2006" s="18"/>
      <c r="R2006" s="18"/>
      <c r="S2006" s="18"/>
    </row>
    <row r="2007" spans="1:19" x14ac:dyDescent="0.25">
      <c r="A2007" s="9" t="s">
        <v>976</v>
      </c>
      <c r="B2007" s="17" t="s">
        <v>1843</v>
      </c>
      <c r="C2007" s="18">
        <f t="shared" si="157"/>
        <v>7942063.3399999999</v>
      </c>
      <c r="D2007" s="18">
        <v>158.84</v>
      </c>
      <c r="E2007" s="18"/>
      <c r="F2007" s="18"/>
      <c r="G2007" s="18">
        <v>3763554.64</v>
      </c>
      <c r="H2007" s="18">
        <v>1734459.39</v>
      </c>
      <c r="I2007" s="18">
        <v>1236322.72</v>
      </c>
      <c r="J2007" s="18"/>
      <c r="K2007" s="18"/>
      <c r="L2007" s="10"/>
      <c r="M2007" s="18"/>
      <c r="N2007" s="10"/>
      <c r="O2007" s="18"/>
      <c r="P2007" s="18">
        <v>1207567.75</v>
      </c>
      <c r="Q2007" s="18"/>
      <c r="R2007" s="18"/>
      <c r="S2007" s="18"/>
    </row>
    <row r="2008" spans="1:19" x14ac:dyDescent="0.25">
      <c r="A2008" s="9" t="s">
        <v>978</v>
      </c>
      <c r="B2008" s="17" t="s">
        <v>1849</v>
      </c>
      <c r="C2008" s="18">
        <f t="shared" si="157"/>
        <v>1698034.16</v>
      </c>
      <c r="D2008" s="18">
        <v>33.96</v>
      </c>
      <c r="E2008" s="18"/>
      <c r="F2008" s="18"/>
      <c r="G2008" s="18"/>
      <c r="H2008" s="18"/>
      <c r="I2008" s="18"/>
      <c r="J2008" s="18"/>
      <c r="K2008" s="18"/>
      <c r="L2008" s="10"/>
      <c r="M2008" s="18"/>
      <c r="N2008" s="10"/>
      <c r="O2008" s="18"/>
      <c r="P2008" s="18">
        <v>1698000.2</v>
      </c>
      <c r="Q2008" s="18"/>
      <c r="R2008" s="18"/>
      <c r="S2008" s="18"/>
    </row>
    <row r="2009" spans="1:19" x14ac:dyDescent="0.25">
      <c r="A2009" s="9" t="s">
        <v>980</v>
      </c>
      <c r="B2009" s="17" t="s">
        <v>1855</v>
      </c>
      <c r="C2009" s="18">
        <f t="shared" si="157"/>
        <v>3055502.31</v>
      </c>
      <c r="D2009" s="18">
        <v>61.11</v>
      </c>
      <c r="E2009" s="18"/>
      <c r="F2009" s="18">
        <v>1885428.29</v>
      </c>
      <c r="G2009" s="18"/>
      <c r="H2009" s="18"/>
      <c r="I2009" s="18"/>
      <c r="J2009" s="18">
        <v>1170012.9099999999</v>
      </c>
      <c r="K2009" s="18"/>
      <c r="L2009" s="10"/>
      <c r="M2009" s="18"/>
      <c r="N2009" s="10"/>
      <c r="O2009" s="18"/>
      <c r="P2009" s="18"/>
      <c r="Q2009" s="18"/>
      <c r="R2009" s="18"/>
      <c r="S2009" s="18"/>
    </row>
    <row r="2010" spans="1:19" x14ac:dyDescent="0.25">
      <c r="A2010" s="9" t="s">
        <v>982</v>
      </c>
      <c r="B2010" s="17" t="s">
        <v>1857</v>
      </c>
      <c r="C2010" s="18">
        <f t="shared" si="157"/>
        <v>6889995.29</v>
      </c>
      <c r="D2010" s="18">
        <v>137.80000000000001</v>
      </c>
      <c r="E2010" s="18"/>
      <c r="F2010" s="18"/>
      <c r="G2010" s="18">
        <v>3377665.5</v>
      </c>
      <c r="H2010" s="18">
        <v>1202407.97</v>
      </c>
      <c r="I2010" s="18">
        <v>650330.68999999994</v>
      </c>
      <c r="J2010" s="18"/>
      <c r="K2010" s="18"/>
      <c r="L2010" s="10"/>
      <c r="M2010" s="18"/>
      <c r="N2010" s="10"/>
      <c r="O2010" s="18"/>
      <c r="P2010" s="18">
        <v>1659453.33</v>
      </c>
      <c r="Q2010" s="18"/>
      <c r="R2010" s="18"/>
      <c r="S2010" s="18"/>
    </row>
    <row r="2011" spans="1:19" x14ac:dyDescent="0.25">
      <c r="A2011" s="9" t="s">
        <v>984</v>
      </c>
      <c r="B2011" s="17" t="s">
        <v>1859</v>
      </c>
      <c r="C2011" s="18">
        <f t="shared" si="157"/>
        <v>835637.4</v>
      </c>
      <c r="D2011" s="18">
        <v>16.71</v>
      </c>
      <c r="E2011" s="18"/>
      <c r="F2011" s="18"/>
      <c r="G2011" s="18"/>
      <c r="H2011" s="18">
        <v>661004.18000000005</v>
      </c>
      <c r="I2011" s="18">
        <v>174616.51</v>
      </c>
      <c r="J2011" s="18"/>
      <c r="K2011" s="18"/>
      <c r="L2011" s="10"/>
      <c r="M2011" s="18"/>
      <c r="N2011" s="10"/>
      <c r="O2011" s="18"/>
      <c r="P2011" s="18"/>
      <c r="Q2011" s="18"/>
      <c r="R2011" s="18"/>
      <c r="S2011" s="18"/>
    </row>
    <row r="2012" spans="1:19" x14ac:dyDescent="0.25">
      <c r="A2012" s="9" t="s">
        <v>986</v>
      </c>
      <c r="B2012" s="17" t="s">
        <v>1861</v>
      </c>
      <c r="C2012" s="18">
        <f t="shared" si="157"/>
        <v>13531154.15</v>
      </c>
      <c r="D2012" s="18"/>
      <c r="E2012" s="18"/>
      <c r="F2012" s="18"/>
      <c r="G2012" s="18"/>
      <c r="H2012" s="18"/>
      <c r="I2012" s="18"/>
      <c r="J2012" s="18"/>
      <c r="K2012" s="18"/>
      <c r="L2012" s="10"/>
      <c r="M2012" s="18"/>
      <c r="N2012" s="10" t="s">
        <v>509</v>
      </c>
      <c r="O2012" s="18">
        <v>13531154.15</v>
      </c>
      <c r="P2012" s="18"/>
      <c r="Q2012" s="18"/>
      <c r="R2012" s="18"/>
      <c r="S2012" s="18"/>
    </row>
    <row r="2013" spans="1:19" x14ac:dyDescent="0.25">
      <c r="A2013" s="9" t="s">
        <v>988</v>
      </c>
      <c r="B2013" s="17" t="s">
        <v>1865</v>
      </c>
      <c r="C2013" s="18">
        <f t="shared" si="157"/>
        <v>3818773.84</v>
      </c>
      <c r="D2013" s="18">
        <v>76.37</v>
      </c>
      <c r="E2013" s="18"/>
      <c r="F2013" s="18"/>
      <c r="G2013" s="18"/>
      <c r="H2013" s="18"/>
      <c r="I2013" s="18"/>
      <c r="J2013" s="18"/>
      <c r="K2013" s="18"/>
      <c r="L2013" s="10"/>
      <c r="M2013" s="18"/>
      <c r="N2013" s="10"/>
      <c r="O2013" s="18"/>
      <c r="P2013" s="18">
        <v>3818697.47</v>
      </c>
      <c r="Q2013" s="18"/>
      <c r="R2013" s="18"/>
      <c r="S2013" s="18"/>
    </row>
    <row r="2014" spans="1:19" x14ac:dyDescent="0.25">
      <c r="A2014" s="9" t="s">
        <v>990</v>
      </c>
      <c r="B2014" s="17" t="s">
        <v>1867</v>
      </c>
      <c r="C2014" s="18">
        <f t="shared" si="157"/>
        <v>1981207.67</v>
      </c>
      <c r="D2014" s="18">
        <v>39.619999999999997</v>
      </c>
      <c r="E2014" s="18"/>
      <c r="F2014" s="18"/>
      <c r="G2014" s="18"/>
      <c r="H2014" s="18">
        <v>802579.74</v>
      </c>
      <c r="I2014" s="18">
        <v>1178588.31</v>
      </c>
      <c r="J2014" s="18"/>
      <c r="K2014" s="18"/>
      <c r="L2014" s="10"/>
      <c r="M2014" s="18"/>
      <c r="N2014" s="10"/>
      <c r="O2014" s="18"/>
      <c r="P2014" s="18"/>
      <c r="Q2014" s="18"/>
      <c r="R2014" s="18"/>
      <c r="S2014" s="18"/>
    </row>
    <row r="2015" spans="1:19" x14ac:dyDescent="0.25">
      <c r="A2015" s="9" t="s">
        <v>992</v>
      </c>
      <c r="B2015" s="17" t="s">
        <v>1869</v>
      </c>
      <c r="C2015" s="18">
        <f t="shared" si="157"/>
        <v>11403542.42</v>
      </c>
      <c r="D2015" s="18">
        <v>228.06</v>
      </c>
      <c r="E2015" s="18"/>
      <c r="F2015" s="18"/>
      <c r="G2015" s="18">
        <v>6146809.7599999998</v>
      </c>
      <c r="H2015" s="18">
        <v>1058627.44</v>
      </c>
      <c r="I2015" s="18">
        <v>814339.04</v>
      </c>
      <c r="J2015" s="18"/>
      <c r="K2015" s="18"/>
      <c r="L2015" s="10"/>
      <c r="M2015" s="18"/>
      <c r="N2015" s="10"/>
      <c r="O2015" s="18"/>
      <c r="P2015" s="18">
        <v>3383538.12</v>
      </c>
      <c r="Q2015" s="18"/>
      <c r="R2015" s="18"/>
      <c r="S2015" s="18"/>
    </row>
    <row r="2016" spans="1:19" x14ac:dyDescent="0.25">
      <c r="A2016" s="9" t="s">
        <v>996</v>
      </c>
      <c r="B2016" s="17" t="s">
        <v>1871</v>
      </c>
      <c r="C2016" s="18">
        <f t="shared" si="157"/>
        <v>3232195.64</v>
      </c>
      <c r="D2016" s="18">
        <v>64.64</v>
      </c>
      <c r="E2016" s="18"/>
      <c r="F2016" s="18">
        <v>3232131</v>
      </c>
      <c r="G2016" s="18"/>
      <c r="H2016" s="18"/>
      <c r="I2016" s="18"/>
      <c r="J2016" s="18"/>
      <c r="K2016" s="18"/>
      <c r="L2016" s="10"/>
      <c r="M2016" s="18"/>
      <c r="N2016" s="10"/>
      <c r="O2016" s="18"/>
      <c r="P2016" s="18"/>
      <c r="Q2016" s="18"/>
      <c r="R2016" s="18"/>
      <c r="S2016" s="18"/>
    </row>
    <row r="2017" spans="1:19" x14ac:dyDescent="0.25">
      <c r="A2017" s="9" t="s">
        <v>998</v>
      </c>
      <c r="B2017" s="17" t="s">
        <v>1877</v>
      </c>
      <c r="C2017" s="18">
        <f t="shared" si="157"/>
        <v>4844169.87</v>
      </c>
      <c r="D2017" s="18">
        <v>96.88</v>
      </c>
      <c r="E2017" s="18"/>
      <c r="F2017" s="18">
        <v>4844072.99</v>
      </c>
      <c r="G2017" s="18"/>
      <c r="H2017" s="18"/>
      <c r="I2017" s="18"/>
      <c r="J2017" s="18"/>
      <c r="K2017" s="18"/>
      <c r="L2017" s="10"/>
      <c r="M2017" s="18"/>
      <c r="N2017" s="10"/>
      <c r="O2017" s="18"/>
      <c r="P2017" s="18"/>
      <c r="Q2017" s="18"/>
      <c r="R2017" s="18"/>
      <c r="S2017" s="18"/>
    </row>
    <row r="2018" spans="1:19" x14ac:dyDescent="0.25">
      <c r="A2018" s="9" t="s">
        <v>1000</v>
      </c>
      <c r="B2018" s="17" t="s">
        <v>1883</v>
      </c>
      <c r="C2018" s="18">
        <f t="shared" si="157"/>
        <v>7297673.7599999998</v>
      </c>
      <c r="D2018" s="18">
        <v>145.94</v>
      </c>
      <c r="E2018" s="18"/>
      <c r="F2018" s="18"/>
      <c r="G2018" s="18">
        <v>2747192.89</v>
      </c>
      <c r="H2018" s="18">
        <v>899589.67</v>
      </c>
      <c r="I2018" s="18">
        <v>625650.09</v>
      </c>
      <c r="J2018" s="18"/>
      <c r="K2018" s="18"/>
      <c r="L2018" s="10"/>
      <c r="M2018" s="18"/>
      <c r="N2018" s="10"/>
      <c r="O2018" s="18"/>
      <c r="P2018" s="18">
        <v>3025095.17</v>
      </c>
      <c r="Q2018" s="18"/>
      <c r="R2018" s="18"/>
      <c r="S2018" s="18"/>
    </row>
    <row r="2019" spans="1:19" x14ac:dyDescent="0.25">
      <c r="A2019" s="9" t="s">
        <v>1002</v>
      </c>
      <c r="B2019" s="17" t="s">
        <v>1885</v>
      </c>
      <c r="C2019" s="18">
        <f t="shared" si="157"/>
        <v>38063003.590000004</v>
      </c>
      <c r="D2019" s="18">
        <v>127.29</v>
      </c>
      <c r="E2019" s="18"/>
      <c r="F2019" s="18"/>
      <c r="G2019" s="18">
        <v>6364336.0499999998</v>
      </c>
      <c r="H2019" s="18">
        <v>15783906.65</v>
      </c>
      <c r="I2019" s="18">
        <v>6892189.3499999996</v>
      </c>
      <c r="J2019" s="18">
        <v>9022444.25</v>
      </c>
      <c r="K2019" s="18"/>
      <c r="L2019" s="10"/>
      <c r="M2019" s="18"/>
      <c r="N2019" s="10"/>
      <c r="O2019" s="18"/>
      <c r="P2019" s="18"/>
      <c r="Q2019" s="18"/>
      <c r="R2019" s="18"/>
      <c r="S2019" s="18"/>
    </row>
    <row r="2020" spans="1:19" x14ac:dyDescent="0.25">
      <c r="A2020" s="9" t="s">
        <v>1004</v>
      </c>
      <c r="B2020" s="17" t="s">
        <v>1887</v>
      </c>
      <c r="C2020" s="18">
        <f>ROUNDUP(SUM(D2020+E2020+F2020+G2020+H2020+I2020+J2020+K2020+M2020+O2020+P2020+Q2020+R2020+S2020),2)</f>
        <v>1260546.8799999999</v>
      </c>
      <c r="D2020" s="18">
        <v>25.21</v>
      </c>
      <c r="E2020" s="18"/>
      <c r="F2020" s="18"/>
      <c r="G2020" s="18"/>
      <c r="H2020" s="18"/>
      <c r="I2020" s="18"/>
      <c r="J2020" s="18"/>
      <c r="K2020" s="18"/>
      <c r="L2020" s="10"/>
      <c r="M2020" s="18"/>
      <c r="N2020" s="10"/>
      <c r="O2020" s="18"/>
      <c r="P2020" s="18">
        <v>1260521.67</v>
      </c>
      <c r="Q2020" s="18"/>
      <c r="R2020" s="18"/>
      <c r="S2020" s="18"/>
    </row>
    <row r="2021" spans="1:19" x14ac:dyDescent="0.25">
      <c r="A2021" s="9" t="s">
        <v>1006</v>
      </c>
      <c r="B2021" s="17" t="s">
        <v>1896</v>
      </c>
      <c r="C2021" s="18">
        <f t="shared" si="157"/>
        <v>10110551.26</v>
      </c>
      <c r="D2021" s="18">
        <v>202.20999999999998</v>
      </c>
      <c r="E2021" s="18"/>
      <c r="F2021" s="18"/>
      <c r="G2021" s="18">
        <v>3536930.07</v>
      </c>
      <c r="H2021" s="18">
        <v>816261.87</v>
      </c>
      <c r="I2021" s="18">
        <v>914243.2</v>
      </c>
      <c r="J2021" s="18"/>
      <c r="K2021" s="18"/>
      <c r="L2021" s="10"/>
      <c r="M2021" s="18"/>
      <c r="N2021" s="10"/>
      <c r="O2021" s="18"/>
      <c r="P2021" s="18">
        <v>4842913.91</v>
      </c>
      <c r="Q2021" s="18"/>
      <c r="R2021" s="18"/>
      <c r="S2021" s="18"/>
    </row>
    <row r="2022" spans="1:19" x14ac:dyDescent="0.25">
      <c r="A2022" s="9" t="s">
        <v>1008</v>
      </c>
      <c r="B2022" s="17" t="s">
        <v>1895</v>
      </c>
      <c r="C2022" s="18">
        <f t="shared" si="157"/>
        <v>8771120.0999999996</v>
      </c>
      <c r="D2022" s="18">
        <v>175.41000000000003</v>
      </c>
      <c r="E2022" s="18"/>
      <c r="F2022" s="18"/>
      <c r="G2022" s="18"/>
      <c r="H2022" s="18">
        <v>2220517.2200000002</v>
      </c>
      <c r="I2022" s="18">
        <v>1262216.9099999999</v>
      </c>
      <c r="J2022" s="18"/>
      <c r="K2022" s="18"/>
      <c r="L2022" s="10"/>
      <c r="M2022" s="18"/>
      <c r="N2022" s="10"/>
      <c r="O2022" s="18"/>
      <c r="P2022" s="18">
        <v>5288210.5599999996</v>
      </c>
      <c r="Q2022" s="18"/>
      <c r="R2022" s="18"/>
      <c r="S2022" s="18"/>
    </row>
    <row r="2023" spans="1:19" x14ac:dyDescent="0.25">
      <c r="A2023" s="9" t="s">
        <v>1010</v>
      </c>
      <c r="B2023" s="17" t="s">
        <v>1889</v>
      </c>
      <c r="C2023" s="18">
        <f t="shared" si="157"/>
        <v>3352674.02</v>
      </c>
      <c r="D2023" s="18">
        <v>67.05</v>
      </c>
      <c r="E2023" s="18"/>
      <c r="F2023" s="18">
        <v>3352606.97</v>
      </c>
      <c r="G2023" s="18"/>
      <c r="H2023" s="18"/>
      <c r="I2023" s="18"/>
      <c r="J2023" s="18"/>
      <c r="K2023" s="18"/>
      <c r="L2023" s="10"/>
      <c r="M2023" s="18"/>
      <c r="N2023" s="10"/>
      <c r="O2023" s="18"/>
      <c r="P2023" s="18"/>
      <c r="Q2023" s="18"/>
      <c r="R2023" s="18"/>
      <c r="S2023" s="18"/>
    </row>
    <row r="2024" spans="1:19" x14ac:dyDescent="0.25">
      <c r="A2024" s="9" t="s">
        <v>1012</v>
      </c>
      <c r="B2024" s="17" t="s">
        <v>1891</v>
      </c>
      <c r="C2024" s="18">
        <f t="shared" si="157"/>
        <v>3029888.28</v>
      </c>
      <c r="D2024" s="18">
        <v>60.6</v>
      </c>
      <c r="E2024" s="18"/>
      <c r="F2024" s="18">
        <v>3029827.68</v>
      </c>
      <c r="G2024" s="18"/>
      <c r="H2024" s="18"/>
      <c r="I2024" s="18"/>
      <c r="J2024" s="18"/>
      <c r="K2024" s="18"/>
      <c r="L2024" s="10"/>
      <c r="M2024" s="18"/>
      <c r="N2024" s="10"/>
      <c r="O2024" s="18"/>
      <c r="P2024" s="18"/>
      <c r="Q2024" s="18"/>
      <c r="R2024" s="18"/>
      <c r="S2024" s="18"/>
    </row>
    <row r="2025" spans="1:19" x14ac:dyDescent="0.25">
      <c r="A2025" s="9" t="s">
        <v>1014</v>
      </c>
      <c r="B2025" s="17" t="s">
        <v>1893</v>
      </c>
      <c r="C2025" s="18">
        <f t="shared" si="157"/>
        <v>5065559.33</v>
      </c>
      <c r="D2025" s="18">
        <v>44707.85</v>
      </c>
      <c r="E2025" s="18"/>
      <c r="F2025" s="18"/>
      <c r="G2025" s="18"/>
      <c r="H2025" s="18"/>
      <c r="I2025" s="18"/>
      <c r="J2025" s="18"/>
      <c r="K2025" s="18"/>
      <c r="L2025" s="10"/>
      <c r="M2025" s="18"/>
      <c r="N2025" s="10"/>
      <c r="O2025" s="18"/>
      <c r="P2025" s="18"/>
      <c r="Q2025" s="18"/>
      <c r="R2025" s="18">
        <v>5020851.4800000004</v>
      </c>
      <c r="S2025" s="18"/>
    </row>
    <row r="2026" spans="1:19" x14ac:dyDescent="0.25">
      <c r="A2026" s="33"/>
      <c r="B2026" s="33" t="s">
        <v>2067</v>
      </c>
      <c r="C2026" s="18">
        <f>ROUND(D2026+E2026+F2026+G2026+H2026+I2026+J2026+K2026+M2026+O2026+P2026+Q2026+R2026+S2026,2)</f>
        <v>191291462.68000001</v>
      </c>
      <c r="D2026" s="18">
        <f t="shared" ref="D2026:S2026" si="158">SUM(D2003:D2025)</f>
        <v>60796.509999999995</v>
      </c>
      <c r="E2026" s="18">
        <f t="shared" si="158"/>
        <v>0</v>
      </c>
      <c r="F2026" s="18">
        <f t="shared" si="158"/>
        <v>21722983.609999999</v>
      </c>
      <c r="G2026" s="18">
        <f t="shared" si="158"/>
        <v>47543221.25</v>
      </c>
      <c r="H2026" s="18">
        <f t="shared" si="158"/>
        <v>31596624.77</v>
      </c>
      <c r="I2026" s="18">
        <f t="shared" si="158"/>
        <v>16582548.209999997</v>
      </c>
      <c r="J2026" s="18">
        <f t="shared" si="158"/>
        <v>10914915.26</v>
      </c>
      <c r="K2026" s="18">
        <f t="shared" si="158"/>
        <v>0</v>
      </c>
      <c r="L2026" s="10">
        <f t="shared" si="158"/>
        <v>0</v>
      </c>
      <c r="M2026" s="18">
        <f t="shared" si="158"/>
        <v>0</v>
      </c>
      <c r="N2026" s="18" t="s">
        <v>42</v>
      </c>
      <c r="O2026" s="18">
        <f t="shared" si="158"/>
        <v>23356349.310000002</v>
      </c>
      <c r="P2026" s="18">
        <f t="shared" si="158"/>
        <v>34493172.280000001</v>
      </c>
      <c r="Q2026" s="18">
        <f t="shared" si="158"/>
        <v>0</v>
      </c>
      <c r="R2026" s="18">
        <f t="shared" si="158"/>
        <v>5020851.4800000004</v>
      </c>
      <c r="S2026" s="18">
        <f t="shared" si="158"/>
        <v>0</v>
      </c>
    </row>
    <row r="2027" spans="1:19" x14ac:dyDescent="0.2">
      <c r="D2027" s="5"/>
      <c r="E2027" s="6"/>
      <c r="F2027" s="3"/>
      <c r="G2027" s="5"/>
      <c r="H2027" s="5"/>
      <c r="I2027" s="5"/>
      <c r="J2027" s="5"/>
      <c r="M2027" s="5"/>
      <c r="N2027" s="5"/>
      <c r="O2027" s="5"/>
      <c r="P2027" s="5"/>
      <c r="Q2027" s="5"/>
      <c r="R2027" s="5"/>
    </row>
    <row r="2028" spans="1:19" x14ac:dyDescent="0.25">
      <c r="D2028" s="5"/>
      <c r="E2028" s="5"/>
      <c r="F2028" s="4"/>
      <c r="G2028" s="5"/>
      <c r="H2028" s="4"/>
      <c r="I2028" s="5"/>
      <c r="J2028" s="6"/>
      <c r="K2028" s="5"/>
      <c r="M2028" s="5"/>
      <c r="P2028" s="5"/>
      <c r="Q2028" s="5"/>
    </row>
    <row r="2029" spans="1:19" x14ac:dyDescent="0.25">
      <c r="D2029" s="5"/>
      <c r="E2029" s="5"/>
      <c r="F2029" s="4"/>
      <c r="G2029" s="5"/>
      <c r="H2029" s="4"/>
      <c r="I2029" s="5"/>
      <c r="J2029" s="6"/>
      <c r="M2029" s="5"/>
    </row>
    <row r="2030" spans="1:19" x14ac:dyDescent="0.25">
      <c r="D2030" s="5"/>
      <c r="E2030" s="5"/>
      <c r="F2030" s="4"/>
      <c r="G2030" s="5"/>
      <c r="I2030" s="5"/>
    </row>
    <row r="2031" spans="1:19" x14ac:dyDescent="0.25">
      <c r="C2031" s="3"/>
      <c r="D2031" s="5"/>
      <c r="E2031" s="5"/>
      <c r="F2031" s="4"/>
      <c r="G2031" s="5"/>
      <c r="H2031" s="4"/>
      <c r="I2031" s="5"/>
    </row>
    <row r="2032" spans="1:19" x14ac:dyDescent="0.25">
      <c r="C2032" s="3"/>
      <c r="D2032" s="5"/>
      <c r="E2032" s="5"/>
      <c r="F2032" s="4"/>
      <c r="G2032" s="5"/>
    </row>
    <row r="2033" spans="3:17" x14ac:dyDescent="0.25">
      <c r="C2033" s="5"/>
      <c r="D2033" s="8"/>
      <c r="E2033" s="5"/>
      <c r="F2033" s="4"/>
    </row>
    <row r="2034" spans="3:17" x14ac:dyDescent="0.25">
      <c r="C2034" s="5"/>
      <c r="D2034" s="5"/>
      <c r="P2034" s="5"/>
    </row>
    <row r="2035" spans="3:17" x14ac:dyDescent="0.25">
      <c r="C2035" s="3"/>
      <c r="D2035" s="3"/>
      <c r="E2035" s="5"/>
      <c r="M2035" s="5"/>
      <c r="Q2035" s="5"/>
    </row>
    <row r="2036" spans="3:17" x14ac:dyDescent="0.25">
      <c r="C2036" s="3"/>
      <c r="E2036" s="5"/>
      <c r="N2036" s="5"/>
      <c r="P2036" s="5"/>
    </row>
    <row r="2037" spans="3:17" x14ac:dyDescent="0.25">
      <c r="D2037" s="3"/>
      <c r="M2037" s="3"/>
    </row>
    <row r="2038" spans="3:17" x14ac:dyDescent="0.25">
      <c r="E2038" s="5"/>
    </row>
    <row r="2039" spans="3:17" x14ac:dyDescent="0.25">
      <c r="D2039" s="3"/>
      <c r="E2039" s="5"/>
    </row>
  </sheetData>
  <autoFilter ref="A5:W2026" xr:uid="{00000000-0001-0000-0000-000000000000}"/>
  <customSheetViews>
    <customSheetView guid="{A9E1BCFF-979A-43ED-A080-A8C26D535515}" scale="106" showPageBreaks="1" showAutoFilter="1" topLeftCell="A13">
      <selection activeCell="D16" sqref="D16"/>
      <pageMargins left="0.7" right="0.7" top="0.75" bottom="0.75" header="0.3" footer="0.3"/>
      <pageSetup paperSize="9" orientation="portrait" r:id="rId1"/>
      <autoFilter ref="A5:AA2027" xr:uid="{0B9CD1E5-68D8-490E-9DCA-670DA609BD37}"/>
    </customSheetView>
    <customSheetView guid="{D8D2587C-DCEE-4D61-B950-B75D7CEE4ED1}" scale="87" showAutoFilter="1">
      <pane xSplit="2" ySplit="5" topLeftCell="C1996" activePane="bottomRight" state="frozen"/>
      <selection pane="bottomRight" activeCell="A2004" sqref="A2004:A2026"/>
      <pageMargins left="0.7" right="0.7" top="0.75" bottom="0.75" header="0.3" footer="0.3"/>
      <pageSetup paperSize="9" orientation="portrait" r:id="rId2"/>
      <autoFilter ref="A7:AA2028" xr:uid="{89584F96-5565-42AB-B33C-D8FAD5502A13}"/>
    </customSheetView>
    <customSheetView guid="{D9095C39-EFE9-4841-9BEB-E93EE0CE8804}" scale="84" showAutoFilter="1">
      <pane ySplit="6" topLeftCell="A1213" activePane="bottomLeft" state="frozen"/>
      <selection pane="bottomLeft" activeCell="K1234" sqref="K1234"/>
      <pageMargins left="0.7" right="0.7" top="0.75" bottom="0.75" header="0.3" footer="0.3"/>
      <pageSetup paperSize="9" orientation="portrait" r:id="rId3"/>
      <autoFilter ref="A6:AA2027" xr:uid="{169EDFDA-85AF-4601-91FB-D6364D3C38DA}"/>
    </customSheetView>
    <customSheetView guid="{7943EDF8-721C-425F-B30C-B4119EB253C1}" showAutoFilter="1">
      <pane ySplit="10" topLeftCell="A1888" activePane="bottomLeft" state="frozen"/>
      <selection pane="bottomLeft" activeCell="B1897" sqref="B1897"/>
      <pageMargins left="0.7" right="0.7" top="0.75" bottom="0.75" header="0.3" footer="0.3"/>
      <pageSetup paperSize="9" orientation="portrait" r:id="rId4"/>
      <autoFilter ref="A6:AB2064" xr:uid="{C9434504-811D-45FE-A14C-04D7351BBFAC}"/>
    </customSheetView>
    <customSheetView guid="{1988759E-2E7C-4AA1-AF87-D2B689504BD0}" scale="84" showAutoFilter="1">
      <pane ySplit="9" topLeftCell="A1843" activePane="bottomLeft" state="frozen"/>
      <selection pane="bottomLeft" activeCell="D1862" sqref="D1862:E1862"/>
      <pageMargins left="0.7" right="0.7" top="0.75" bottom="0.75" header="0.3" footer="0.3"/>
      <pageSetup paperSize="9" orientation="portrait" r:id="rId5"/>
      <autoFilter ref="A6:AA2026" xr:uid="{347C2E17-2719-4A31-A5B0-6F8D3228206C}"/>
    </customSheetView>
  </customSheetViews>
  <mergeCells count="17">
    <mergeCell ref="A1:S1"/>
    <mergeCell ref="A2:A5"/>
    <mergeCell ref="B2:B5"/>
    <mergeCell ref="C2:C4"/>
    <mergeCell ref="D2:D4"/>
    <mergeCell ref="E2:E4"/>
    <mergeCell ref="F2:S2"/>
    <mergeCell ref="F3:K3"/>
    <mergeCell ref="L3:M4"/>
    <mergeCell ref="N3:O4"/>
    <mergeCell ref="P3:P4"/>
    <mergeCell ref="Q3:Q4"/>
    <mergeCell ref="R3:R4"/>
    <mergeCell ref="S3:S4"/>
    <mergeCell ref="A8:Q8"/>
    <mergeCell ref="A967:S967"/>
    <mergeCell ref="A10:C10"/>
  </mergeCells>
  <phoneticPr fontId="8" type="noConversion"/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работ 2023-2025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 Олеся Владимировна</dc:creator>
  <cp:lastModifiedBy>Стригун Олеся Владимировна</cp:lastModifiedBy>
  <cp:lastPrinted>2025-12-05T05:03:27Z</cp:lastPrinted>
  <dcterms:created xsi:type="dcterms:W3CDTF">2025-07-23T07:44:30Z</dcterms:created>
  <dcterms:modified xsi:type="dcterms:W3CDTF">2026-08-24T05:37:06Z</dcterms:modified>
</cp:coreProperties>
</file>